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diehlonline-my.sharepoint.com/personal/stephan_osterwald_diehl_com/Documents/text2025/Projekte aktiv/Konfliktmineralien/CMRT 6.4/"/>
    </mc:Choice>
  </mc:AlternateContent>
  <xr:revisionPtr revIDLastSave="1" documentId="8_{0717FCD4-CB12-4F77-8CE8-B709E236EF39}" xr6:coauthVersionLast="47" xr6:coauthVersionMax="47" xr10:uidLastSave="{3FBEB158-D17C-4F8C-8E5A-C6FD83037BDB}"/>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12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9" i="5" l="1"/>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4"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s="1"/>
  <c r="B54" i="6"/>
  <c r="G54" i="6" s="1"/>
  <c r="B17" i="6"/>
  <c r="B37" i="6" s="1"/>
  <c r="G37" i="6" s="1"/>
  <c r="B16" i="6"/>
  <c r="B15" i="6"/>
  <c r="B20" i="6" s="1"/>
  <c r="B14" i="6"/>
  <c r="G14" i="6"/>
  <c r="H14" i="6"/>
  <c r="H13" i="6"/>
  <c r="B12" i="6"/>
  <c r="G12" i="6"/>
  <c r="H12" i="6" s="1"/>
  <c r="D12" i="6" s="1"/>
  <c r="B11" i="6"/>
  <c r="G11" i="6"/>
  <c r="H11" i="6" s="1"/>
  <c r="D11" i="6" s="1"/>
  <c r="G9" i="6"/>
  <c r="H9" i="6"/>
  <c r="D9" i="6" s="1"/>
  <c r="B8" i="6"/>
  <c r="G8" i="6" s="1"/>
  <c r="H8" i="6" s="1"/>
  <c r="D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B90" i="4"/>
  <c r="H67" i="4"/>
  <c r="P47" i="4"/>
  <c r="P46" i="4"/>
  <c r="P45" i="4"/>
  <c r="P44" i="4"/>
  <c r="P43" i="4"/>
  <c r="Q43" i="4"/>
  <c r="P41" i="4"/>
  <c r="P40" i="4"/>
  <c r="P39" i="4"/>
  <c r="P38" i="4"/>
  <c r="P37" i="4"/>
  <c r="Q37" i="4"/>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42" i="6" s="1"/>
  <c r="G42" i="6" s="1"/>
  <c r="H42" i="6" s="1"/>
  <c r="D42" i="6" s="1"/>
  <c r="F27" i="6"/>
  <c r="F68"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J4" i="5"/>
  <c r="A55" i="2"/>
  <c r="A73" i="2"/>
  <c r="B9" i="3"/>
  <c r="A43" i="2"/>
  <c r="C19" i="3"/>
  <c r="P4" i="5"/>
  <c r="A45" i="2"/>
  <c r="B29" i="3"/>
  <c r="B39" i="4"/>
  <c r="A25" i="6" s="1"/>
  <c r="G3" i="5"/>
  <c r="B19" i="4"/>
  <c r="A30" i="2"/>
  <c r="A64" i="2"/>
  <c r="C5" i="3"/>
  <c r="C13" i="3"/>
  <c r="A56" i="2"/>
  <c r="B4" i="4"/>
  <c r="B24" i="4"/>
  <c r="A9" i="2"/>
  <c r="C7" i="3"/>
  <c r="C23" i="3"/>
  <c r="C31" i="3"/>
  <c r="B15" i="4"/>
  <c r="A7" i="6" s="1"/>
  <c r="C16" i="3"/>
  <c r="D2" i="4"/>
  <c r="B17" i="4"/>
  <c r="A9" i="6" s="1"/>
  <c r="H4" i="5"/>
  <c r="I54" i="6"/>
  <c r="J64" i="6"/>
  <c r="J66" i="6"/>
  <c r="I67" i="6"/>
  <c r="I56" i="6"/>
  <c r="J67" i="6"/>
  <c r="I68" i="6"/>
  <c r="I69" i="6"/>
  <c r="B22" i="3"/>
  <c r="B30" i="3"/>
  <c r="I4" i="4"/>
  <c r="B12" i="4"/>
  <c r="C14" i="3"/>
  <c r="C30" i="3"/>
  <c r="B27" i="4"/>
  <c r="A15" i="6" s="1"/>
  <c r="A3" i="6"/>
  <c r="J47" i="6"/>
  <c r="J56" i="6"/>
  <c r="I57" i="6"/>
  <c r="L66" i="6"/>
  <c r="A41" i="2"/>
  <c r="C2" i="3"/>
  <c r="C10" i="3"/>
  <c r="C18" i="3"/>
  <c r="A42" i="2"/>
  <c r="A59" i="2"/>
  <c r="A68" i="2"/>
  <c r="B3" i="3"/>
  <c r="B22" i="4"/>
  <c r="A12" i="6" s="1"/>
  <c r="A91" i="4"/>
  <c r="B2" i="5"/>
  <c r="M4" i="5"/>
  <c r="B3" i="6"/>
  <c r="J57" i="6"/>
  <c r="I58" i="6"/>
  <c r="L67" i="6"/>
  <c r="A1" i="7"/>
  <c r="D4" i="8"/>
  <c r="I50" i="6"/>
  <c r="J58" i="6"/>
  <c r="I59" i="6"/>
  <c r="L68" i="6"/>
  <c r="B5" i="7"/>
  <c r="A71" i="2"/>
  <c r="B4" i="3"/>
  <c r="B8" i="3"/>
  <c r="B12" i="3"/>
  <c r="B16" i="3"/>
  <c r="G4" i="5"/>
  <c r="O4" i="5"/>
  <c r="A1" i="6"/>
  <c r="D3" i="6"/>
  <c r="J4" i="6"/>
  <c r="J34" i="6"/>
  <c r="I35" i="6"/>
  <c r="J42" i="6"/>
  <c r="J50" i="6"/>
  <c r="I51" i="6"/>
  <c r="J11" i="6"/>
  <c r="J12" i="6"/>
  <c r="I24" i="6"/>
  <c r="J35" i="6"/>
  <c r="I36" i="6"/>
  <c r="G25" i="4"/>
  <c r="G37" i="4" s="1"/>
  <c r="B44" i="4"/>
  <c r="A29" i="6" s="1"/>
  <c r="A4" i="5"/>
  <c r="I4" i="5"/>
  <c r="I14" i="6"/>
  <c r="J52" i="6"/>
  <c r="J62" i="6"/>
  <c r="I63" i="6"/>
  <c r="I64" i="6"/>
  <c r="J65" i="6"/>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66"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27" i="6"/>
  <c r="D2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X599" i="5"/>
  <c r="S599" i="5"/>
  <c r="X346" i="5"/>
  <c r="S611" i="5"/>
  <c r="S601" i="5"/>
  <c r="S600" i="5"/>
  <c r="X108" i="5"/>
  <c r="S382" i="5"/>
  <c r="X297" i="5"/>
  <c r="S533" i="5"/>
  <c r="S355" i="5"/>
  <c r="S602" i="5"/>
  <c r="X549"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A51" i="2" l="1"/>
  <c r="A58" i="2"/>
  <c r="J55" i="6"/>
  <c r="C22" i="3"/>
  <c r="B26" i="3"/>
  <c r="L65" i="6"/>
  <c r="J63" i="6"/>
  <c r="C24" i="3"/>
  <c r="C15" i="3"/>
  <c r="C9" i="3"/>
  <c r="A48" i="2"/>
  <c r="B9" i="4"/>
  <c r="A5" i="6" s="1"/>
  <c r="C3" i="3"/>
  <c r="B41" i="4"/>
  <c r="B53" i="4" s="1"/>
  <c r="A37" i="6" s="1"/>
  <c r="E4" i="8"/>
  <c r="C6" i="5" s="1"/>
  <c r="I45" i="6"/>
  <c r="B18" i="4"/>
  <c r="A10" i="6" s="1"/>
  <c r="J10" i="6"/>
  <c r="J22" i="6"/>
  <c r="B3" i="5"/>
  <c r="A61" i="2"/>
  <c r="J49" i="6"/>
  <c r="I49" i="6"/>
  <c r="B14" i="4"/>
  <c r="A33" i="2"/>
  <c r="A24" i="2"/>
  <c r="I40" i="6"/>
  <c r="C6" i="3"/>
  <c r="B14" i="3"/>
  <c r="I55" i="6"/>
  <c r="I46" i="6"/>
  <c r="C8" i="3"/>
  <c r="A70" i="2"/>
  <c r="A4" i="2"/>
  <c r="A13" i="2"/>
  <c r="B21" i="3"/>
  <c r="N4" i="5"/>
  <c r="A38" i="2"/>
  <c r="J44" i="6"/>
  <c r="B10" i="4"/>
  <c r="A6" i="6" s="1"/>
  <c r="J9" i="6"/>
  <c r="I12" i="6"/>
  <c r="C12" i="6" s="1"/>
  <c r="B74" i="4"/>
  <c r="A53" i="6" s="1"/>
  <c r="A53" i="2"/>
  <c r="I42" i="6"/>
  <c r="I41" i="6"/>
  <c r="B6" i="4"/>
  <c r="A25" i="2"/>
  <c r="A7" i="2"/>
  <c r="J39" i="6"/>
  <c r="A66" i="2"/>
  <c r="B10" i="3"/>
  <c r="J54" i="6"/>
  <c r="J45" i="6"/>
  <c r="A72" i="2"/>
  <c r="A52" i="2"/>
  <c r="C17" i="3"/>
  <c r="J2" i="5"/>
  <c r="B13" i="3"/>
  <c r="C25" i="3"/>
  <c r="I37" i="6"/>
  <c r="D5" i="7"/>
  <c r="J8" i="6"/>
  <c r="I11" i="6"/>
  <c r="B25" i="4"/>
  <c r="A13" i="6" s="1"/>
  <c r="A44" i="2"/>
  <c r="J41" i="6"/>
  <c r="J40" i="6"/>
  <c r="B31" i="3"/>
  <c r="A16" i="2"/>
  <c r="B18" i="3"/>
  <c r="I32" i="6"/>
  <c r="A50" i="2"/>
  <c r="B6" i="3"/>
  <c r="I47" i="6"/>
  <c r="J37" i="6"/>
  <c r="A54" i="2"/>
  <c r="A34" i="2"/>
  <c r="A39" i="2"/>
  <c r="B7" i="4"/>
  <c r="B5" i="3"/>
  <c r="A75" i="2"/>
  <c r="B46" i="4"/>
  <c r="A31" i="6" s="1"/>
  <c r="C4" i="8"/>
  <c r="J36" i="6"/>
  <c r="I65" i="6"/>
  <c r="J7" i="6"/>
  <c r="I10" i="6"/>
  <c r="B16" i="4"/>
  <c r="A8" i="6" s="1"/>
  <c r="A35" i="2"/>
  <c r="I34" i="6"/>
  <c r="J32" i="6"/>
  <c r="B27" i="3"/>
  <c r="A8" i="2"/>
  <c r="A57" i="2"/>
  <c r="I31" i="6"/>
  <c r="A32" i="2"/>
  <c r="B2" i="3"/>
  <c r="J46" i="6"/>
  <c r="I26" i="6"/>
  <c r="A37" i="2"/>
  <c r="A17" i="2"/>
  <c r="A21" i="2"/>
  <c r="C28" i="3"/>
  <c r="A63" i="2"/>
  <c r="C20" i="3"/>
  <c r="B47" i="4"/>
  <c r="A32" i="6" s="1"/>
  <c r="I4" i="8"/>
  <c r="I25" i="6"/>
  <c r="I62" i="6"/>
  <c r="J6" i="6"/>
  <c r="I9" i="6"/>
  <c r="C9" i="6" s="1"/>
  <c r="B8" i="4"/>
  <c r="A4" i="6" s="1"/>
  <c r="A27" i="2"/>
  <c r="I22" i="6"/>
  <c r="J31" i="6"/>
  <c r="B23" i="3"/>
  <c r="L4" i="5"/>
  <c r="A31" i="2"/>
  <c r="I30" i="6"/>
  <c r="A15" i="2"/>
  <c r="A65" i="2"/>
  <c r="I39" i="6"/>
  <c r="J25" i="6"/>
  <c r="A19" i="2"/>
  <c r="D25" i="4"/>
  <c r="D49" i="4" s="1"/>
  <c r="B2006" i="7"/>
  <c r="C12" i="3"/>
  <c r="A46" i="2"/>
  <c r="B25" i="3"/>
  <c r="J24" i="6"/>
  <c r="J60" i="6"/>
  <c r="D1" i="6"/>
  <c r="I8" i="6"/>
  <c r="B32" i="3"/>
  <c r="A18" i="2"/>
  <c r="J21" i="6"/>
  <c r="J30" i="6"/>
  <c r="B19" i="3"/>
  <c r="B38" i="4"/>
  <c r="A24" i="6" s="1"/>
  <c r="A14" i="2"/>
  <c r="I29" i="6"/>
  <c r="K4" i="5"/>
  <c r="A49" i="2"/>
  <c r="I27" i="6"/>
  <c r="J17" i="6"/>
  <c r="A2" i="2"/>
  <c r="C27" i="3"/>
  <c r="B4" i="5"/>
  <c r="A62" i="2"/>
  <c r="A29" i="2"/>
  <c r="B29" i="4"/>
  <c r="B35" i="4" s="1"/>
  <c r="A22" i="6" s="1"/>
  <c r="H4" i="8"/>
  <c r="F4" i="8"/>
  <c r="I17" i="6"/>
  <c r="I52" i="6"/>
  <c r="C5" i="7"/>
  <c r="I7" i="6"/>
  <c r="C7" i="6" s="1"/>
  <c r="B28" i="3"/>
  <c r="A10" i="2"/>
  <c r="I5" i="6"/>
  <c r="J29" i="6"/>
  <c r="B15" i="3"/>
  <c r="B21" i="4"/>
  <c r="A6" i="2"/>
  <c r="J27" i="6"/>
  <c r="I74" i="4"/>
  <c r="A40" i="2"/>
  <c r="J26" i="6"/>
  <c r="J16" i="6"/>
  <c r="F4" i="5"/>
  <c r="C11" i="3"/>
  <c r="B73" i="4"/>
  <c r="A28" i="2"/>
  <c r="A12" i="2"/>
  <c r="B17" i="3"/>
  <c r="B79" i="4"/>
  <c r="A57" i="6" s="1"/>
  <c r="I16" i="6"/>
  <c r="J51" i="6"/>
  <c r="I60" i="6"/>
  <c r="I6" i="6"/>
  <c r="B24" i="3"/>
  <c r="A1" i="2"/>
  <c r="I4" i="6"/>
  <c r="I21" i="6"/>
  <c r="B11" i="3"/>
  <c r="B13" i="4"/>
  <c r="B4" i="8"/>
  <c r="I20" i="6"/>
  <c r="B45" i="4"/>
  <c r="A30" i="6" s="1"/>
  <c r="A23" i="2"/>
  <c r="I19" i="6"/>
  <c r="J15" i="6"/>
  <c r="B40" i="4"/>
  <c r="B64" i="4" s="1"/>
  <c r="A46" i="6" s="1"/>
  <c r="A60" i="2"/>
  <c r="C29" i="3"/>
  <c r="A11" i="2"/>
  <c r="B26" i="4"/>
  <c r="A14" i="6" s="1"/>
  <c r="A20" i="2"/>
  <c r="Q4" i="5"/>
  <c r="E4" i="5"/>
  <c r="B59" i="1"/>
  <c r="I66" i="6"/>
  <c r="I15" i="6"/>
  <c r="C15" i="6" s="1"/>
  <c r="I44" i="6"/>
  <c r="J59" i="6"/>
  <c r="J5" i="6"/>
  <c r="B20" i="3"/>
  <c r="G4" i="8"/>
  <c r="C3" i="6"/>
  <c r="J20" i="6"/>
  <c r="B7" i="3"/>
  <c r="C26" i="3"/>
  <c r="J68" i="6"/>
  <c r="J19" i="6"/>
  <c r="B20" i="4"/>
  <c r="A11" i="6" s="1"/>
  <c r="A4" i="8"/>
  <c r="A1" i="8"/>
  <c r="J14" i="6"/>
  <c r="B28" i="4"/>
  <c r="A16" i="6" s="1"/>
  <c r="A26" i="2"/>
  <c r="C21" i="3"/>
  <c r="H74" i="4"/>
  <c r="C4" i="3"/>
  <c r="A3" i="2"/>
  <c r="B41" i="6"/>
  <c r="G41" i="6" s="1"/>
  <c r="F26" i="6"/>
  <c r="B46" i="6"/>
  <c r="G46" i="6" s="1"/>
  <c r="H21" i="6"/>
  <c r="B36" i="6"/>
  <c r="G36" i="6" s="1"/>
  <c r="G21" i="6"/>
  <c r="C17" i="6"/>
  <c r="F22" i="6"/>
  <c r="C27" i="6"/>
  <c r="B32" i="6"/>
  <c r="G32" i="6" s="1"/>
  <c r="B85" i="4"/>
  <c r="A60" i="6" s="1"/>
  <c r="G22" i="6"/>
  <c r="C42" i="6"/>
  <c r="B52" i="6"/>
  <c r="G52" i="6" s="1"/>
  <c r="F52" i="6"/>
  <c r="B47" i="6"/>
  <c r="G47" i="6" s="1"/>
  <c r="F47" i="6"/>
  <c r="H47" i="6" s="1"/>
  <c r="D47" i="6" s="1"/>
  <c r="C37" i="6"/>
  <c r="B49" i="4"/>
  <c r="A33" i="6" s="1"/>
  <c r="F37" i="6"/>
  <c r="H37" i="6" s="1"/>
  <c r="D37" i="6" s="1"/>
  <c r="F32" i="6"/>
  <c r="H32" i="6" s="1"/>
  <c r="D32" i="6" s="1"/>
  <c r="D21" i="6"/>
  <c r="K67" i="6"/>
  <c r="F46" i="6"/>
  <c r="H46" i="6" s="1"/>
  <c r="D46" i="6" s="1"/>
  <c r="H26" i="6"/>
  <c r="D26" i="6" s="1"/>
  <c r="C21" i="6"/>
  <c r="F31" i="6"/>
  <c r="H31" i="6" s="1"/>
  <c r="D31" i="6" s="1"/>
  <c r="B75" i="4"/>
  <c r="A54" i="6" s="1"/>
  <c r="C16" i="6"/>
  <c r="G20" i="6"/>
  <c r="H20" i="6" s="1"/>
  <c r="D20" i="6" s="1"/>
  <c r="B45" i="6"/>
  <c r="G45" i="6" s="1"/>
  <c r="D15" i="6"/>
  <c r="C20" i="6"/>
  <c r="B25" i="6"/>
  <c r="G25" i="6" s="1"/>
  <c r="B30" i="6"/>
  <c r="G30" i="6" s="1"/>
  <c r="B81" i="4"/>
  <c r="A58" i="6" s="1"/>
  <c r="B50" i="6"/>
  <c r="G50" i="6" s="1"/>
  <c r="B35" i="6"/>
  <c r="G35" i="6" s="1"/>
  <c r="B40" i="6"/>
  <c r="G40" i="6" s="1"/>
  <c r="F25" i="6"/>
  <c r="B31" i="4"/>
  <c r="A18" i="6" s="1"/>
  <c r="B87" i="4"/>
  <c r="A62" i="6" s="1"/>
  <c r="B55" i="4"/>
  <c r="A38" i="6" s="1"/>
  <c r="D14" i="6"/>
  <c r="B83" i="4"/>
  <c r="A59" i="6" s="1"/>
  <c r="B89" i="4"/>
  <c r="A63" i="6" s="1"/>
  <c r="B61" i="4"/>
  <c r="A43" i="6" s="1"/>
  <c r="B77" i="4"/>
  <c r="A55" i="6" s="1"/>
  <c r="B43" i="4"/>
  <c r="A28" i="6" s="1"/>
  <c r="C14" i="6"/>
  <c r="F19" i="6"/>
  <c r="B19" i="6"/>
  <c r="B39" i="6" s="1"/>
  <c r="G39" i="6" s="1"/>
  <c r="B34" i="6"/>
  <c r="G34" i="6" s="1"/>
  <c r="B37" i="4"/>
  <c r="A23" i="6" s="1"/>
  <c r="B67" i="4"/>
  <c r="A48" i="6" s="1"/>
  <c r="C11" i="6"/>
  <c r="C10" i="6"/>
  <c r="C8" i="6"/>
  <c r="B34" i="4"/>
  <c r="A21" i="6" s="1"/>
  <c r="H6" i="6"/>
  <c r="D6" i="6" s="1"/>
  <c r="B57" i="4"/>
  <c r="A40" i="6" s="1"/>
  <c r="D5" i="6"/>
  <c r="C5" i="6"/>
  <c r="C6" i="6"/>
  <c r="B6" i="5"/>
  <c r="V6" i="5" s="1"/>
  <c r="G6" i="5" s="1"/>
  <c r="G43" i="4"/>
  <c r="G67" i="4"/>
  <c r="C4" i="6"/>
  <c r="C38" i="5"/>
  <c r="C37" i="5"/>
  <c r="C35" i="5"/>
  <c r="C26" i="5"/>
  <c r="C25" i="5"/>
  <c r="C24" i="5"/>
  <c r="C22" i="5"/>
  <c r="B27" i="5"/>
  <c r="B26" i="5"/>
  <c r="B25" i="5"/>
  <c r="B5" i="5"/>
  <c r="B24" i="5"/>
  <c r="B7" i="5"/>
  <c r="B63" i="4"/>
  <c r="A45" i="6" s="1"/>
  <c r="B51" i="4"/>
  <c r="A35" i="6" s="1"/>
  <c r="B33" i="4"/>
  <c r="A20" i="6" s="1"/>
  <c r="B69" i="4"/>
  <c r="A50" i="6" s="1"/>
  <c r="C23" i="5"/>
  <c r="B23" i="5"/>
  <c r="B14" i="5"/>
  <c r="C21" i="5"/>
  <c r="B13" i="5"/>
  <c r="D31" i="4"/>
  <c r="C12" i="5"/>
  <c r="B12" i="5"/>
  <c r="C11" i="5"/>
  <c r="B11" i="5"/>
  <c r="C10" i="5"/>
  <c r="B10" i="5"/>
  <c r="C9" i="5"/>
  <c r="B9" i="5"/>
  <c r="B38" i="5"/>
  <c r="B15" i="5"/>
  <c r="B29" i="5"/>
  <c r="C13" i="5"/>
  <c r="C27" i="5"/>
  <c r="B16" i="5"/>
  <c r="B30" i="5"/>
  <c r="C14" i="5"/>
  <c r="C28" i="5"/>
  <c r="C7" i="5"/>
  <c r="B17" i="5"/>
  <c r="B31" i="5"/>
  <c r="C15" i="5"/>
  <c r="C29" i="5"/>
  <c r="B18" i="5"/>
  <c r="B32" i="5"/>
  <c r="C16" i="5"/>
  <c r="C30" i="5"/>
  <c r="B19" i="5"/>
  <c r="B33" i="5"/>
  <c r="C17" i="5"/>
  <c r="C31" i="5"/>
  <c r="C8" i="5"/>
  <c r="B20" i="5"/>
  <c r="B34" i="5"/>
  <c r="C18" i="5"/>
  <c r="C32" i="5"/>
  <c r="B21" i="5"/>
  <c r="B35" i="5"/>
  <c r="C19" i="5"/>
  <c r="C33" i="5"/>
  <c r="B22" i="5"/>
  <c r="B36" i="5"/>
  <c r="C20" i="5"/>
  <c r="C34" i="5"/>
  <c r="B37" i="5"/>
  <c r="C5" i="5"/>
  <c r="G74" i="4"/>
  <c r="G61" i="4"/>
  <c r="G31" i="4"/>
  <c r="G49" i="4"/>
  <c r="C36" i="5"/>
  <c r="B28" i="5"/>
  <c r="B8" i="5"/>
  <c r="G64" i="6"/>
  <c r="A17" i="6"/>
  <c r="B32" i="4"/>
  <c r="A19" i="6" s="1"/>
  <c r="G55" i="4"/>
  <c r="B56" i="4" l="1"/>
  <c r="A39" i="6" s="1"/>
  <c r="B70" i="4"/>
  <c r="A51" i="6" s="1"/>
  <c r="D74" i="4"/>
  <c r="A26" i="6"/>
  <c r="B59" i="4"/>
  <c r="A42" i="6" s="1"/>
  <c r="B71" i="4"/>
  <c r="A52" i="6" s="1"/>
  <c r="B52" i="4"/>
  <c r="A36" i="6" s="1"/>
  <c r="B65" i="4"/>
  <c r="A47" i="6" s="1"/>
  <c r="B58" i="4"/>
  <c r="A41" i="6" s="1"/>
  <c r="A27" i="6"/>
  <c r="D55" i="4"/>
  <c r="B50" i="4"/>
  <c r="A34" i="6" s="1"/>
  <c r="D37" i="4"/>
  <c r="B62" i="4"/>
  <c r="A44" i="6" s="1"/>
  <c r="D61" i="4"/>
  <c r="D67" i="4"/>
  <c r="B68" i="4"/>
  <c r="A49" i="6" s="1"/>
  <c r="D43" i="4"/>
  <c r="C26" i="6"/>
  <c r="C31" i="6"/>
  <c r="F67" i="6"/>
  <c r="F41" i="6"/>
  <c r="F36" i="6"/>
  <c r="H36" i="6" s="1"/>
  <c r="F51" i="6"/>
  <c r="H51" i="6" s="1"/>
  <c r="H41" i="6"/>
  <c r="K66" i="6"/>
  <c r="H52" i="6"/>
  <c r="C32" i="6"/>
  <c r="C47" i="6"/>
  <c r="H22" i="6"/>
  <c r="C46" i="6"/>
  <c r="F50" i="6"/>
  <c r="H50" i="6" s="1"/>
  <c r="F35" i="6"/>
  <c r="H35" i="6" s="1"/>
  <c r="F30" i="6"/>
  <c r="H30" i="6" s="1"/>
  <c r="F66" i="6"/>
  <c r="F45" i="6"/>
  <c r="H45" i="6" s="1"/>
  <c r="H25" i="6"/>
  <c r="F40" i="6"/>
  <c r="H40" i="6" s="1"/>
  <c r="B29" i="6"/>
  <c r="G29" i="6" s="1"/>
  <c r="B44" i="6"/>
  <c r="G44" i="6" s="1"/>
  <c r="F24" i="6"/>
  <c r="G19" i="6"/>
  <c r="H19" i="6" s="1"/>
  <c r="B24" i="6"/>
  <c r="G24" i="6" s="1"/>
  <c r="B49" i="6"/>
  <c r="G49" i="6" s="1"/>
  <c r="AB6" i="5"/>
  <c r="AB26" i="5"/>
  <c r="V24" i="5"/>
  <c r="F24" i="5" s="1"/>
  <c r="V25" i="5"/>
  <c r="G25" i="5" s="1"/>
  <c r="AB24" i="5"/>
  <c r="AB7" i="5"/>
  <c r="AB25" i="5"/>
  <c r="F69" i="6"/>
  <c r="C69" i="6" s="1"/>
  <c r="V26" i="5"/>
  <c r="AB23" i="5"/>
  <c r="AB30" i="5"/>
  <c r="AB12" i="5"/>
  <c r="AB20" i="5"/>
  <c r="V11" i="5"/>
  <c r="G11" i="5" s="1"/>
  <c r="V20" i="5"/>
  <c r="AB33" i="5"/>
  <c r="AB16" i="5"/>
  <c r="V12" i="5"/>
  <c r="V10" i="5"/>
  <c r="V17" i="5"/>
  <c r="G17" i="5" s="1"/>
  <c r="AB36" i="5"/>
  <c r="V27" i="5"/>
  <c r="AB38" i="5"/>
  <c r="AB27" i="5"/>
  <c r="V31" i="5"/>
  <c r="G31" i="5" s="1"/>
  <c r="AB22" i="5"/>
  <c r="J6" i="5"/>
  <c r="E6" i="5"/>
  <c r="I6" i="5"/>
  <c r="R6" i="5"/>
  <c r="F6" i="5"/>
  <c r="H6" i="5"/>
  <c r="V14" i="5"/>
  <c r="V34" i="5"/>
  <c r="V30" i="5"/>
  <c r="G30" i="5" s="1"/>
  <c r="V36" i="5"/>
  <c r="V33" i="5"/>
  <c r="G33" i="5" s="1"/>
  <c r="V16" i="5"/>
  <c r="G16" i="5" s="1"/>
  <c r="AB29" i="5"/>
  <c r="V38" i="5"/>
  <c r="AB11" i="5"/>
  <c r="AB37" i="5"/>
  <c r="V13" i="5"/>
  <c r="V19" i="5"/>
  <c r="G19" i="5" s="1"/>
  <c r="AB32" i="5"/>
  <c r="AB15" i="5"/>
  <c r="V28" i="5"/>
  <c r="G28" i="5" s="1"/>
  <c r="AB28" i="5"/>
  <c r="AB35" i="5"/>
  <c r="AB18" i="5"/>
  <c r="AB13" i="5"/>
  <c r="V35" i="5"/>
  <c r="V5" i="5"/>
  <c r="G5" i="5" s="1"/>
  <c r="AB8" i="5"/>
  <c r="AB21" i="5"/>
  <c r="V29" i="5"/>
  <c r="G29" i="5" s="1"/>
  <c r="V37" i="5"/>
  <c r="V21" i="5"/>
  <c r="V8" i="5"/>
  <c r="G8" i="5" s="1"/>
  <c r="AB19" i="5"/>
  <c r="G67" i="6" s="1"/>
  <c r="H67" i="6" s="1"/>
  <c r="V32" i="5"/>
  <c r="G32" i="5" s="1"/>
  <c r="V15" i="5"/>
  <c r="G15" i="5" s="1"/>
  <c r="AB9" i="5"/>
  <c r="AB14" i="5"/>
  <c r="V7" i="5"/>
  <c r="V23" i="5"/>
  <c r="G66" i="6"/>
  <c r="H66" i="6" s="1"/>
  <c r="V18" i="5"/>
  <c r="G18" i="5" s="1"/>
  <c r="AB31" i="5"/>
  <c r="V9" i="5"/>
  <c r="G9" i="5" s="1"/>
  <c r="AB34" i="5"/>
  <c r="AB17" i="5"/>
  <c r="AB10" i="5"/>
  <c r="V22" i="5"/>
  <c r="AB5" i="5"/>
  <c r="G65" i="6"/>
  <c r="H64" i="6"/>
  <c r="B64" i="6"/>
  <c r="D36" i="6" l="1"/>
  <c r="C36" i="6"/>
  <c r="D41" i="6"/>
  <c r="C41" i="6"/>
  <c r="D51" i="6"/>
  <c r="C51" i="6"/>
  <c r="D22" i="6"/>
  <c r="C22" i="6"/>
  <c r="K68" i="6"/>
  <c r="D52" i="6"/>
  <c r="C52" i="6"/>
  <c r="D40" i="6"/>
  <c r="C40" i="6"/>
  <c r="D25" i="6"/>
  <c r="C25" i="6"/>
  <c r="D45" i="6"/>
  <c r="C45" i="6"/>
  <c r="D30" i="6"/>
  <c r="C30" i="6"/>
  <c r="D35" i="6"/>
  <c r="C35" i="6"/>
  <c r="D50" i="6"/>
  <c r="C50" i="6"/>
  <c r="D19" i="6"/>
  <c r="K65" i="6"/>
  <c r="C19" i="6"/>
  <c r="R24" i="5"/>
  <c r="J24" i="5"/>
  <c r="H24" i="6"/>
  <c r="F29" i="6"/>
  <c r="H29" i="6" s="1"/>
  <c r="F44" i="6"/>
  <c r="H44" i="6" s="1"/>
  <c r="F34" i="6"/>
  <c r="H34" i="6" s="1"/>
  <c r="F39" i="6"/>
  <c r="H39" i="6" s="1"/>
  <c r="F65" i="6"/>
  <c r="F54" i="6"/>
  <c r="F49" i="6"/>
  <c r="H49" i="6" s="1"/>
  <c r="H24" i="5"/>
  <c r="R25" i="5"/>
  <c r="E25" i="5"/>
  <c r="X25" i="5" s="1"/>
  <c r="F25" i="5"/>
  <c r="I25" i="5"/>
  <c r="G24" i="5"/>
  <c r="H25" i="5"/>
  <c r="I24" i="5"/>
  <c r="J25" i="5"/>
  <c r="E24" i="5"/>
  <c r="X24" i="5" s="1"/>
  <c r="F26" i="5"/>
  <c r="J26" i="5"/>
  <c r="H26" i="5"/>
  <c r="I26" i="5"/>
  <c r="R26" i="5"/>
  <c r="E26" i="5"/>
  <c r="G26" i="5"/>
  <c r="C67" i="6"/>
  <c r="D67" i="6"/>
  <c r="I22" i="5"/>
  <c r="R22" i="5"/>
  <c r="H22" i="5"/>
  <c r="E22" i="5"/>
  <c r="F22" i="5"/>
  <c r="J22" i="5"/>
  <c r="G22" i="5"/>
  <c r="I10" i="5"/>
  <c r="F10" i="5"/>
  <c r="H10" i="5"/>
  <c r="J10" i="5"/>
  <c r="R10" i="5"/>
  <c r="E10" i="5"/>
  <c r="J12" i="5"/>
  <c r="H12" i="5"/>
  <c r="R12" i="5"/>
  <c r="I12" i="5"/>
  <c r="F12" i="5"/>
  <c r="E12" i="5"/>
  <c r="E27" i="5"/>
  <c r="H27" i="5"/>
  <c r="R27" i="5"/>
  <c r="J27" i="5"/>
  <c r="I27" i="5"/>
  <c r="F27" i="5"/>
  <c r="E13" i="5"/>
  <c r="I13" i="5"/>
  <c r="H13" i="5"/>
  <c r="R13" i="5"/>
  <c r="J13" i="5"/>
  <c r="F13" i="5"/>
  <c r="E16" i="5"/>
  <c r="H16" i="5"/>
  <c r="J16" i="5"/>
  <c r="R16" i="5"/>
  <c r="I16" i="5"/>
  <c r="F16" i="5"/>
  <c r="E21" i="5"/>
  <c r="R21" i="5"/>
  <c r="H21" i="5"/>
  <c r="I21" i="5"/>
  <c r="J21" i="5"/>
  <c r="F21" i="5"/>
  <c r="G27" i="5"/>
  <c r="I19" i="5"/>
  <c r="H19" i="5"/>
  <c r="R19" i="5"/>
  <c r="J19" i="5"/>
  <c r="F19" i="5"/>
  <c r="E19" i="5"/>
  <c r="E34" i="5"/>
  <c r="R34" i="5"/>
  <c r="F34" i="5"/>
  <c r="J34" i="5"/>
  <c r="H34" i="5"/>
  <c r="I34" i="5"/>
  <c r="E8" i="5"/>
  <c r="J8" i="5"/>
  <c r="H8" i="5"/>
  <c r="F8" i="5"/>
  <c r="R8" i="5"/>
  <c r="I8" i="5"/>
  <c r="E14" i="5"/>
  <c r="R14" i="5"/>
  <c r="I14" i="5"/>
  <c r="J14" i="5"/>
  <c r="F14" i="5"/>
  <c r="H14" i="5"/>
  <c r="I18" i="5"/>
  <c r="F18" i="5"/>
  <c r="J18" i="5"/>
  <c r="R18" i="5"/>
  <c r="E18" i="5"/>
  <c r="H18" i="5"/>
  <c r="G21" i="5"/>
  <c r="E35" i="5"/>
  <c r="H35" i="5"/>
  <c r="R35" i="5"/>
  <c r="J35" i="5"/>
  <c r="I35" i="5"/>
  <c r="F35" i="5"/>
  <c r="G35" i="5"/>
  <c r="I33" i="5"/>
  <c r="R33" i="5"/>
  <c r="E33" i="5"/>
  <c r="J33" i="5"/>
  <c r="H33" i="5"/>
  <c r="F33" i="5"/>
  <c r="F28" i="5"/>
  <c r="E28" i="5"/>
  <c r="I28" i="5"/>
  <c r="H28" i="5"/>
  <c r="R28" i="5"/>
  <c r="J28" i="5"/>
  <c r="J36" i="5"/>
  <c r="H36" i="5"/>
  <c r="F36" i="5"/>
  <c r="E36" i="5"/>
  <c r="R36" i="5"/>
  <c r="I36" i="5"/>
  <c r="H31" i="5"/>
  <c r="J31" i="5"/>
  <c r="I31" i="5"/>
  <c r="F31" i="5"/>
  <c r="E31" i="5"/>
  <c r="R31" i="5"/>
  <c r="D66" i="6"/>
  <c r="C66" i="6"/>
  <c r="I37" i="5"/>
  <c r="J37" i="5"/>
  <c r="R37" i="5"/>
  <c r="H37" i="5"/>
  <c r="E37" i="5"/>
  <c r="F37" i="5"/>
  <c r="G37" i="5"/>
  <c r="E15" i="5"/>
  <c r="J15" i="5"/>
  <c r="I15" i="5"/>
  <c r="F15" i="5"/>
  <c r="H15" i="5"/>
  <c r="R15" i="5"/>
  <c r="G10" i="5"/>
  <c r="I5" i="5"/>
  <c r="H5" i="5"/>
  <c r="E5" i="5"/>
  <c r="J5" i="5"/>
  <c r="R5" i="5"/>
  <c r="F5" i="5"/>
  <c r="G14" i="5"/>
  <c r="G12" i="5"/>
  <c r="G13" i="5"/>
  <c r="I23" i="5"/>
  <c r="E23" i="5"/>
  <c r="F23" i="5"/>
  <c r="R23" i="5"/>
  <c r="H23" i="5"/>
  <c r="J23" i="5"/>
  <c r="G23" i="5"/>
  <c r="H32" i="5"/>
  <c r="R32" i="5"/>
  <c r="J32" i="5"/>
  <c r="F32" i="5"/>
  <c r="I32" i="5"/>
  <c r="E32" i="5"/>
  <c r="G36" i="5"/>
  <c r="X6" i="5"/>
  <c r="E20" i="5"/>
  <c r="R20" i="5"/>
  <c r="H20" i="5"/>
  <c r="J20" i="5"/>
  <c r="I20" i="5"/>
  <c r="F20" i="5"/>
  <c r="G68" i="6"/>
  <c r="H68" i="6" s="1"/>
  <c r="J29" i="5"/>
  <c r="F29" i="5"/>
  <c r="E29" i="5"/>
  <c r="R29" i="5"/>
  <c r="H29" i="5"/>
  <c r="I29" i="5"/>
  <c r="E7" i="5"/>
  <c r="J7" i="5"/>
  <c r="R7" i="5"/>
  <c r="I7" i="5"/>
  <c r="H7" i="5"/>
  <c r="F7" i="5"/>
  <c r="F38" i="5"/>
  <c r="J38" i="5"/>
  <c r="H38" i="5"/>
  <c r="E38" i="5"/>
  <c r="R38" i="5"/>
  <c r="I38" i="5"/>
  <c r="G38" i="5"/>
  <c r="R30" i="5"/>
  <c r="E30" i="5"/>
  <c r="H30" i="5"/>
  <c r="I30" i="5"/>
  <c r="F30" i="5"/>
  <c r="J30" i="5"/>
  <c r="H17" i="5"/>
  <c r="I17" i="5"/>
  <c r="J17" i="5"/>
  <c r="R17" i="5"/>
  <c r="E17" i="5"/>
  <c r="F17" i="5"/>
  <c r="G20" i="5"/>
  <c r="E9" i="5"/>
  <c r="H9" i="5"/>
  <c r="F9" i="5"/>
  <c r="J9" i="5"/>
  <c r="I9" i="5"/>
  <c r="R9" i="5"/>
  <c r="G7" i="5"/>
  <c r="G34" i="5"/>
  <c r="H11" i="5"/>
  <c r="R11" i="5"/>
  <c r="J11" i="5"/>
  <c r="F11" i="5"/>
  <c r="I11" i="5"/>
  <c r="E11" i="5"/>
  <c r="D64" i="6"/>
  <c r="C64" i="6"/>
  <c r="S6" i="5"/>
  <c r="S24" i="5"/>
  <c r="S26" i="5"/>
  <c r="D39" i="6" l="1"/>
  <c r="C39" i="6"/>
  <c r="D34" i="6"/>
  <c r="C34" i="6"/>
  <c r="D44" i="6"/>
  <c r="C44" i="6"/>
  <c r="C2" i="6"/>
  <c r="B2" i="6"/>
  <c r="D29" i="6"/>
  <c r="C29" i="6"/>
  <c r="D24" i="6"/>
  <c r="C24" i="6"/>
  <c r="D49" i="6"/>
  <c r="C49" i="6"/>
  <c r="H65" i="6"/>
  <c r="F60" i="6"/>
  <c r="H60" i="6" s="1"/>
  <c r="F55" i="6"/>
  <c r="F63" i="6"/>
  <c r="H63" i="6" s="1"/>
  <c r="F59" i="6"/>
  <c r="H59" i="6" s="1"/>
  <c r="F58" i="6"/>
  <c r="H58" i="6" s="1"/>
  <c r="F57" i="6"/>
  <c r="H57" i="6" s="1"/>
  <c r="H54" i="6"/>
  <c r="F62" i="6"/>
  <c r="H62" i="6" s="1"/>
  <c r="X26" i="5"/>
  <c r="X23" i="5"/>
  <c r="X21" i="5"/>
  <c r="X11" i="5"/>
  <c r="X29" i="5"/>
  <c r="X13" i="5"/>
  <c r="X31" i="5"/>
  <c r="X14" i="5"/>
  <c r="X34" i="5"/>
  <c r="X17" i="5"/>
  <c r="X38" i="5"/>
  <c r="X28" i="5"/>
  <c r="X35" i="5"/>
  <c r="X19" i="5"/>
  <c r="X32" i="5"/>
  <c r="X27" i="5"/>
  <c r="X18" i="5"/>
  <c r="X12" i="5"/>
  <c r="D68" i="6"/>
  <c r="C68" i="6"/>
  <c r="X15" i="5"/>
  <c r="X16" i="5"/>
  <c r="X22" i="5"/>
  <c r="X37" i="5"/>
  <c r="X33" i="5"/>
  <c r="X8" i="5"/>
  <c r="X36" i="5"/>
  <c r="G69" i="6" a="1"/>
  <c r="G69" i="6" s="1"/>
  <c r="H69" i="6" s="1"/>
  <c r="X5" i="5"/>
  <c r="X20" i="5"/>
  <c r="X9" i="5"/>
  <c r="X30" i="5"/>
  <c r="X7" i="5"/>
  <c r="X10" i="5"/>
  <c r="S38" i="5"/>
  <c r="S31" i="5"/>
  <c r="S30" i="5"/>
  <c r="S12" i="5"/>
  <c r="S21" i="5"/>
  <c r="S7" i="5"/>
  <c r="S34" i="5"/>
  <c r="S10" i="5"/>
  <c r="S32" i="5"/>
  <c r="S16" i="5"/>
  <c r="S14" i="5"/>
  <c r="S27" i="5"/>
  <c r="S9" i="5"/>
  <c r="T24" i="5"/>
  <c r="S8" i="5"/>
  <c r="S36" i="5"/>
  <c r="S11" i="5"/>
  <c r="S18" i="5"/>
  <c r="S13" i="5"/>
  <c r="S28" i="5"/>
  <c r="T6" i="5"/>
  <c r="T26" i="5"/>
  <c r="S37" i="5"/>
  <c r="S15" i="5"/>
  <c r="S29" i="5"/>
  <c r="S25" i="5"/>
  <c r="S20" i="5"/>
  <c r="S19" i="5"/>
  <c r="S23" i="5"/>
  <c r="S33" i="5"/>
  <c r="S22" i="5"/>
  <c r="S17" i="5"/>
  <c r="S35" i="5"/>
  <c r="S5" i="5"/>
  <c r="D62" i="6" l="1"/>
  <c r="C62" i="6"/>
  <c r="D59" i="6"/>
  <c r="C59" i="6"/>
  <c r="D63" i="6"/>
  <c r="C63" i="6"/>
  <c r="F56" i="6"/>
  <c r="H56" i="6" s="1"/>
  <c r="H55" i="6"/>
  <c r="H70" i="6" s="1"/>
  <c r="D2" i="6" s="1"/>
  <c r="D54" i="6"/>
  <c r="C54" i="6"/>
  <c r="D57" i="6"/>
  <c r="C57" i="6"/>
  <c r="D58" i="6"/>
  <c r="C58" i="6"/>
  <c r="D60" i="6"/>
  <c r="C60" i="6"/>
  <c r="D65" i="6"/>
  <c r="C65" i="6"/>
  <c r="T23" i="5"/>
  <c r="T5" i="5"/>
  <c r="T11" i="5"/>
  <c r="T35" i="5"/>
  <c r="T31" i="5"/>
  <c r="T38" i="5"/>
  <c r="T22" i="5"/>
  <c r="T29" i="5"/>
  <c r="T33" i="5"/>
  <c r="T30" i="5"/>
  <c r="T16" i="5"/>
  <c r="T19" i="5"/>
  <c r="T18" i="5"/>
  <c r="T20" i="5"/>
  <c r="T27" i="5"/>
  <c r="T10" i="5"/>
  <c r="T15" i="5"/>
  <c r="T8" i="5"/>
  <c r="T9" i="5"/>
  <c r="T7" i="5"/>
  <c r="T13" i="5"/>
  <c r="T37" i="5"/>
  <c r="T25" i="5"/>
  <c r="T14" i="5"/>
  <c r="T17" i="5"/>
  <c r="T36" i="5"/>
  <c r="T28" i="5"/>
  <c r="T32" i="5"/>
  <c r="T12" i="5"/>
  <c r="T34" i="5"/>
  <c r="T21"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<sst xmlns="http://schemas.openxmlformats.org/spreadsheetml/2006/main" count="22540" uniqueCount="15868">
  <si>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</si>
  <si>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</si>
  <si>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</si>
  <si>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</si>
  <si>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</si>
  <si>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</si>
  <si>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</si>
  <si>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</si>
  <si>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</si>
  <si>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</si>
  <si>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</si>
  <si>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</si>
  <si>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</si>
  <si>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</si>
  <si>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</si>
  <si>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</si>
  <si>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</si>
  <si>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</si>
  <si>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</si>
  <si>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</si>
  <si>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</si>
  <si>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</si>
  <si>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</si>
  <si>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</si>
  <si>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</si>
  <si>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</si>
  <si>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</si>
  <si>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</si>
  <si>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</si>
  <si>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</si>
  <si>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</si>
  <si>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</si>
  <si>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</si>
  <si>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</si>
  <si>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</si>
  <si>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</si>
  <si>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</si>
  <si>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</si>
  <si>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</si>
  <si>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</si>
  <si>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</si>
  <si>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</si>
  <si>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</si>
  <si>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</si>
  <si>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</si>
  <si>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</si>
  <si>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</si>
  <si>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</si>
  <si>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</si>
  <si>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</si>
  <si>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</si>
  <si>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</si>
  <si>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</si>
  <si>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</si>
  <si>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</si>
  <si>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</si>
  <si>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</si>
  <si>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</si>
  <si>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</si>
  <si>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</si>
  <si>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</si>
  <si>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</si>
  <si>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</si>
  <si>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</si>
  <si>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</si>
  <si>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</si>
  <si>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</si>
  <si>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</si>
  <si>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</si>
  <si>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</si>
  <si>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</si>
  <si>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</si>
  <si>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</si>
  <si>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</si>
  <si>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</si>
  <si>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</si>
  <si>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</si>
  <si>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</si>
  <si>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</si>
  <si>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</si>
  <si>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</si>
  <si>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</si>
  <si>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</si>
  <si>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</si>
  <si>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</si>
  <si>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</si>
  <si>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</si>
  <si>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</si>
  <si>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</si>
  <si>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</si>
  <si>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</si>
  <si>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</si>
  <si>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</si>
  <si>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</si>
  <si>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</si>
  <si>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</si>
  <si>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</si>
  <si>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</si>
  <si>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</si>
  <si>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</si>
  <si>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</si>
  <si>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</si>
  <si>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</si>
  <si>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</si>
  <si>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</si>
  <si>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</si>
  <si>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</si>
  <si>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</si>
  <si>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</si>
  <si>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</si>
  <si>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</si>
  <si>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</si>
  <si>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</si>
  <si>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</si>
  <si>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</si>
  <si>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</si>
  <si>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</si>
  <si>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</si>
  <si>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</si>
  <si>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</si>
  <si>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</si>
  <si>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</si>
  <si>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</si>
  <si>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</si>
  <si>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</si>
  <si>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</si>
  <si>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</si>
  <si>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</si>
  <si>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</si>
  <si>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</si>
  <si>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</si>
  <si>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</si>
  <si>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</si>
  <si>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</si>
  <si>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</si>
  <si>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</si>
  <si>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</si>
  <si>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</si>
  <si>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</si>
  <si>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</si>
  <si>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</si>
  <si>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</si>
  <si>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</si>
  <si>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</si>
  <si>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</si>
  <si>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</si>
  <si>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</si>
  <si>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</si>
  <si>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</si>
  <si>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</si>
  <si>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</si>
  <si>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</si>
  <si>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</si>
  <si>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</si>
  <si>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</si>
  <si>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</si>
  <si>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</si>
  <si>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</si>
  <si>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</si>
  <si>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</si>
  <si>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</si>
  <si>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</si>
  <si>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</si>
  <si>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</si>
  <si>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</si>
  <si>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</si>
  <si>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</si>
  <si>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</si>
  <si>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</si>
  <si>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</si>
  <si>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</si>
  <si>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</si>
  <si>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</si>
  <si>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</si>
  <si>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</si>
  <si>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</si>
  <si>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</si>
  <si>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</si>
  <si>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</si>
  <si>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</si>
  <si>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</si>
  <si>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</si>
  <si>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</si>
  <si>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</si>
  <si>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</si>
  <si>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</si>
  <si>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</si>
  <si>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</si>
  <si>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</si>
  <si>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</si>
  <si>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</si>
  <si>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</si>
  <si>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</si>
  <si>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</si>
  <si>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</si>
  <si>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</si>
  <si>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</si>
  <si>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</si>
  <si>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</si>
  <si>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</si>
  <si>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</si>
  <si>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</si>
  <si>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</si>
  <si>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</si>
  <si>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</si>
  <si>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</si>
  <si>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</si>
  <si>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</si>
  <si>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</si>
  <si>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</si>
  <si>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</si>
  <si>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</si>
  <si>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</si>
  <si>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</si>
  <si>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</si>
  <si>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</si>
  <si>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</si>
  <si>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</si>
  <si>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</si>
  <si>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</si>
  <si>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</si>
  <si>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</si>
  <si>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</si>
  <si>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</si>
  <si>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</si>
  <si>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</si>
  <si>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</si>
  <si>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</si>
  <si>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</si>
  <si>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</si>
  <si>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</si>
  <si>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</si>
  <si>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</si>
  <si>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</si>
  <si>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</si>
  <si>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</si>
  <si>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</si>
  <si>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</si>
  <si>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</si>
  <si>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</si>
  <si>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</si>
  <si>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</si>
  <si>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</si>
  <si>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</si>
  <si>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</si>
  <si>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</si>
  <si>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</si>
  <si>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</si>
  <si>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</si>
  <si>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</si>
  <si>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</si>
  <si>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</si>
  <si>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</si>
  <si>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</si>
  <si>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</si>
  <si>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</si>
  <si>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</si>
  <si>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</si>
  <si>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</si>
  <si>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</si>
  <si>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</si>
  <si>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</si>
  <si>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</si>
  <si>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</si>
  <si>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</si>
  <si>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</si>
  <si>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</si>
  <si>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</si>
  <si>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</si>
  <si>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</si>
  <si>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</si>
  <si>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</si>
  <si>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</si>
  <si>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</si>
  <si>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</si>
  <si>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</si>
  <si>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</si>
  <si>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</si>
  <si>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</si>
  <si>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</si>
  <si>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</si>
  <si>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</si>
  <si>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</si>
  <si>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</si>
  <si>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</si>
  <si>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</si>
  <si>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</si>
  <si>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</si>
  <si>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</si>
  <si>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</si>
  <si>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</si>
  <si>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</si>
  <si>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</si>
  <si>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</si>
  <si>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</si>
  <si>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</si>
  <si>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</si>
  <si>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</si>
  <si>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</si>
  <si>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</si>
  <si>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</si>
  <si>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</si>
  <si>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</si>
  <si>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</si>
  <si>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</si>
  <si>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</si>
  <si>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</si>
  <si>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</si>
  <si>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</si>
  <si>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</si>
  <si>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</si>
  <si>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</si>
  <si>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</si>
  <si>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</si>
  <si>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</si>
  <si>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</si>
  <si>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</si>
  <si>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</si>
  <si>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</si>
  <si>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</si>
  <si>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</si>
  <si>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</si>
  <si>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</si>
  <si>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</si>
  <si>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</si>
  <si>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</si>
  <si>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</si>
  <si>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</si>
  <si>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</si>
  <si>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</si>
  <si>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</si>
  <si>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</si>
  <si>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</si>
  <si>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</si>
  <si>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</si>
  <si>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</si>
  <si>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</si>
  <si>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</si>
  <si>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</si>
  <si>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</si>
  <si>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</si>
  <si>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</si>
  <si>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</si>
  <si>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</si>
  <si>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</si>
  <si>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</si>
  <si>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</si>
  <si>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</si>
  <si>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</si>
  <si>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</si>
  <si>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</si>
  <si>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</si>
  <si>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</si>
  <si>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</si>
  <si>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</si>
  <si>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</si>
  <si>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</si>
  <si>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</si>
  <si>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</si>
  <si>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</si>
  <si>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</si>
  <si>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</si>
  <si>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</si>
  <si>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</si>
  <si>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</si>
  <si>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</si>
  <si>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</si>
  <si>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</si>
  <si>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</si>
  <si>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</si>
  <si>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</si>
  <si>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</si>
  <si>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</si>
  <si>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</si>
  <si>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</si>
  <si>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</si>
  <si>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</si>
  <si>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</si>
  <si>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</si>
  <si>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</si>
  <si>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</si>
  <si>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</si>
  <si>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</si>
  <si>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</si>
  <si>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</si>
  <si>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</si>
  <si>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</si>
  <si>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</si>
  <si>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</si>
  <si>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</si>
  <si>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</si>
  <si>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</si>
  <si>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</si>
  <si>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</si>
  <si>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</si>
  <si>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</si>
  <si>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</si>
  <si>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</si>
  <si>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</si>
  <si>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</si>
  <si>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</si>
  <si>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</si>
  <si>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</si>
  <si>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</si>
  <si>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</si>
  <si>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</si>
  <si>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</si>
  <si>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</si>
  <si>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</si>
  <si>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</si>
  <si>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</si>
  <si>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</si>
  <si>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</si>
  <si>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</si>
  <si>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</si>
  <si>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</si>
  <si>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</si>
  <si>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</si>
  <si>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</si>
  <si>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</si>
  <si>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</si>
  <si>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</si>
  <si>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</si>
  <si>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</si>
  <si>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</si>
  <si>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</si>
  <si>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</si>
  <si>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</si>
  <si>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</si>
  <si>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</si>
  <si>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</si>
  <si>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</si>
  <si>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</si>
  <si>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</si>
  <si>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</si>
  <si>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</si>
  <si>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</si>
  <si>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</si>
  <si>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</si>
  <si>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</si>
  <si>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</si>
  <si>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</si>
  <si>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</si>
  <si>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</si>
  <si>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</si>
  <si>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</si>
  <si>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</si>
  <si>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</si>
  <si>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</si>
  <si>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</si>
  <si>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</si>
  <si>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</si>
  <si>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</si>
  <si>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</si>
  <si>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</si>
  <si>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</si>
  <si>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</si>
  <si>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</si>
  <si>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</si>
  <si>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</si>
  <si>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</si>
  <si>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</si>
  <si>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</si>
  <si>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</si>
  <si>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</si>
  <si>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</si>
  <si>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</si>
  <si>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</si>
  <si>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</si>
  <si>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</si>
  <si>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</si>
  <si>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</si>
  <si>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</si>
  <si>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</si>
  <si>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</si>
  <si>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</si>
  <si>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</si>
  <si>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</si>
  <si>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</si>
  <si>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</si>
  <si>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</si>
  <si>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</si>
  <si>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</si>
  <si>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</si>
  <si>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</si>
  <si>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</si>
  <si>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</si>
  <si>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</si>
  <si>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</si>
  <si>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</si>
  <si>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</si>
  <si>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</si>
  <si>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</si>
  <si>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</si>
  <si>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</si>
  <si>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</si>
  <si>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</si>
  <si>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</si>
  <si>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</si>
  <si>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</si>
  <si>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</si>
  <si>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</si>
  <si>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</si>
  <si>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</si>
  <si>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</si>
  <si>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</si>
  <si>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</si>
  <si>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</si>
  <si>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</si>
  <si>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</si>
  <si>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</si>
  <si>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</si>
  <si>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</si>
  <si>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</si>
  <si>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</si>
  <si>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</si>
  <si>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</si>
  <si>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</si>
  <si>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</si>
  <si>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</si>
  <si>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</si>
  <si>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</si>
  <si>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</si>
  <si>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</si>
  <si>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</si>
  <si>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</si>
  <si>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</si>
  <si>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</si>
  <si>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</si>
  <si>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</si>
  <si>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</si>
  <si>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</si>
  <si>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</si>
  <si>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</si>
  <si>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</si>
  <si>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</si>
  <si>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</si>
  <si>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</si>
  <si>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</si>
  <si>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</si>
  <si>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</si>
  <si>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</si>
  <si>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</si>
  <si>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</si>
  <si>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</si>
  <si>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</si>
  <si>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</si>
  <si>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</si>
  <si>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</si>
  <si>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</si>
  <si>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</si>
  <si>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</si>
  <si>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</si>
  <si>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</si>
  <si>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</si>
  <si>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</si>
  <si>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</si>
  <si>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</si>
  <si>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</si>
  <si>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</si>
  <si>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</si>
  <si>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</si>
  <si>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</si>
  <si>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</si>
  <si>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</si>
  <si>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</si>
  <si>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</si>
  <si>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</si>
  <si>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</si>
  <si>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</si>
  <si>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</si>
  <si>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</si>
  <si>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</si>
  <si>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</si>
  <si>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</si>
  <si>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</si>
  <si>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</si>
  <si>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</si>
  <si>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</si>
  <si>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</si>
  <si>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</si>
  <si>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</si>
  <si>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</si>
  <si>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</si>
  <si>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</si>
  <si>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</si>
  <si>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</si>
  <si>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</si>
  <si>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</si>
  <si>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</si>
  <si>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</si>
  <si>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</si>
  <si>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</si>
  <si>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</si>
  <si>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</si>
  <si>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</si>
  <si>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</si>
  <si>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</si>
  <si>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</si>
  <si>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</si>
  <si>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</si>
  <si>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</si>
  <si>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</si>
  <si>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</si>
  <si>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</si>
  <si>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</si>
  <si>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</si>
  <si>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</si>
  <si>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</si>
  <si>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</si>
  <si>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</si>
  <si>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</si>
  <si>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</si>
  <si>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</si>
  <si>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</si>
  <si>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</si>
  <si>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</si>
  <si>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</si>
  <si>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</si>
  <si>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</si>
  <si>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</si>
  <si>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</si>
  <si>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</si>
  <si>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</si>
  <si>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</si>
  <si>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</si>
  <si>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</si>
  <si>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</si>
  <si>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</si>
  <si>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</si>
  <si>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</si>
  <si>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</si>
  <si>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</si>
  <si>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</si>
  <si>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</si>
  <si>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</si>
  <si>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</si>
  <si>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</si>
  <si>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</si>
  <si>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</si>
  <si>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</si>
  <si>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</si>
  <si>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</si>
  <si>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</si>
  <si>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</si>
  <si>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</si>
  <si>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</si>
  <si>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</si>
  <si>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</si>
  <si>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</si>
  <si>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</si>
  <si>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</si>
  <si>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</si>
  <si>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</si>
  <si>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</si>
  <si>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</si>
  <si>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</si>
  <si>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</si>
  <si>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</si>
  <si>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</si>
  <si>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</si>
  <si>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</si>
  <si>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</si>
  <si>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</si>
  <si>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</si>
  <si>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</si>
  <si>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</si>
  <si>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</si>
  <si>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</si>
  <si>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</si>
  <si>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</si>
  <si>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</si>
  <si>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</si>
  <si>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</si>
  <si>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</si>
  <si>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</si>
  <si>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</si>
  <si>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</si>
  <si>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</si>
  <si>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</si>
  <si>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</si>
  <si>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</si>
  <si>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</si>
  <si>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</si>
  <si>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</si>
  <si>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</si>
  <si>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</si>
  <si>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</si>
  <si>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</si>
  <si>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</si>
  <si>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</si>
  <si>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</si>
  <si>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</si>
  <si>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</si>
  <si>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</si>
  <si>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</si>
  <si>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</si>
  <si>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</si>
  <si>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</si>
  <si>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</si>
  <si>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</si>
  <si>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</si>
  <si>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</si>
  <si>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</si>
  <si>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</si>
  <si>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</si>
  <si>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</si>
  <si>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</si>
  <si>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</si>
  <si>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</si>
  <si>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</si>
  <si>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</si>
  <si>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</si>
  <si>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</si>
  <si>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</si>
  <si>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</si>
  <si>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</si>
  <si>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</si>
  <si>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</si>
  <si>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</si>
  <si>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</si>
  <si>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</si>
  <si>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</si>
  <si>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</si>
  <si>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</si>
  <si>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</si>
  <si>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</si>
  <si>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</si>
  <si>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</si>
  <si>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</si>
  <si>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</si>
  <si>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</si>
  <si>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</si>
  <si>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</si>
  <si>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</si>
  <si>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</si>
  <si>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</si>
  <si>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</si>
  <si>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</si>
  <si>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</si>
  <si>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</si>
  <si>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</si>
  <si>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</si>
  <si>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</si>
  <si>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</si>
  <si>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</si>
  <si>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</si>
  <si>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</si>
  <si>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</si>
  <si>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</si>
  <si>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</si>
  <si>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</si>
  <si>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</si>
  <si>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</si>
  <si>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</si>
  <si>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</si>
  <si>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</si>
  <si>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</si>
  <si>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</si>
  <si>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</si>
  <si>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</si>
  <si>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</si>
  <si>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</si>
  <si>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</si>
  <si>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</si>
  <si>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</si>
  <si>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</si>
  <si>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</si>
  <si>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</si>
  <si>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</si>
  <si>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</si>
  <si>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</si>
  <si>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</si>
  <si>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</si>
  <si>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</si>
  <si>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</si>
  <si>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</si>
  <si>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</si>
  <si>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</si>
  <si>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</si>
  <si>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</si>
  <si>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</si>
  <si>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</si>
  <si>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</si>
  <si>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</si>
  <si>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</si>
  <si>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</si>
  <si>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</si>
  <si>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</si>
  <si>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</si>
  <si>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</si>
  <si>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</si>
  <si>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</si>
  <si>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</si>
  <si>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</si>
  <si>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</si>
  <si>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</si>
  <si>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</si>
  <si>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</si>
  <si>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</si>
  <si>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</si>
  <si>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</si>
  <si>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</si>
  <si>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</si>
  <si>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</si>
  <si>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</si>
  <si>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</si>
  <si>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</si>
  <si>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</si>
  <si>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</si>
  <si>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</si>
  <si>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</si>
  <si>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</si>
  <si>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</si>
  <si>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</si>
  <si>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</si>
  <si>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</si>
  <si>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</si>
  <si>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</si>
  <si>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</si>
  <si>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</si>
  <si>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</si>
  <si>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</si>
  <si>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</si>
  <si>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</si>
  <si>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</si>
  <si>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</si>
  <si>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</si>
  <si>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</si>
  <si>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</si>
  <si>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</si>
  <si>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</si>
  <si>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</si>
  <si>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</si>
  <si>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</si>
  <si>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</si>
  <si>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</si>
  <si>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</si>
  <si>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</si>
  <si>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</si>
  <si>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</si>
  <si>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</si>
  <si>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</si>
  <si>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</si>
  <si>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</si>
  <si>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</si>
  <si>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</si>
  <si>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</si>
  <si>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</si>
  <si>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</si>
  <si>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</si>
  <si>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</si>
  <si>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</si>
  <si>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</si>
  <si>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</si>
  <si>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</si>
  <si>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</si>
  <si>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</si>
  <si>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</si>
  <si>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</si>
  <si>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</si>
  <si>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</si>
  <si>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</si>
  <si>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</si>
  <si>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</si>
  <si>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</si>
  <si>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</si>
  <si>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</si>
  <si>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</si>
  <si>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</si>
  <si>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</si>
  <si>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</si>
  <si>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</si>
  <si>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</si>
  <si>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</si>
  <si>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</si>
  <si>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</si>
  <si>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</si>
  <si>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</si>
  <si>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</si>
  <si>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</si>
  <si>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</si>
  <si>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</si>
  <si>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</si>
  <si>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</si>
  <si>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</si>
  <si>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</si>
  <si>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</si>
  <si>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</si>
  <si>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</si>
  <si>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</si>
  <si>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</si>
  <si>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</si>
  <si>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</si>
  <si>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</si>
  <si>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</si>
  <si>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</si>
  <si>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</si>
  <si>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</si>
  <si>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</si>
  <si>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</si>
  <si>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</si>
  <si>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</si>
  <si>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</si>
  <si>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</si>
  <si>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</si>
  <si>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</si>
  <si>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</si>
  <si>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</si>
  <si>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</si>
  <si>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</si>
  <si>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</si>
  <si>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</si>
  <si>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</si>
  <si>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</si>
  <si>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</si>
  <si>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</si>
  <si>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</si>
  <si>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</si>
  <si>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</si>
  <si>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</si>
  <si>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</si>
  <si>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</si>
  <si>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</si>
  <si>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</si>
  <si>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</si>
  <si>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</si>
  <si>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</si>
  <si>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</si>
  <si>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</si>
  <si>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</si>
  <si>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</si>
  <si>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</si>
  <si>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</si>
  <si>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</si>
  <si>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</si>
  <si>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</si>
  <si>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</si>
  <si>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</si>
  <si>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</si>
  <si>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</si>
  <si>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</si>
  <si>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</si>
  <si>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</si>
  <si>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</si>
  <si>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</si>
  <si>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</si>
  <si>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</si>
  <si>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</si>
  <si>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</si>
  <si>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</si>
  <si>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</si>
  <si>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</si>
  <si>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</si>
  <si>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</si>
  <si>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</si>
  <si>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</si>
  <si>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</si>
  <si>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</si>
  <si>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</si>
  <si>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</si>
  <si>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</si>
  <si>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</si>
  <si>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</si>
  <si>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</si>
  <si>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</si>
  <si>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</si>
  <si>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</si>
  <si>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</si>
  <si>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</si>
  <si>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</si>
  <si>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</si>
  <si>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</si>
  <si>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</si>
  <si>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</si>
  <si>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</si>
  <si>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</si>
  <si>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</si>
  <si>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</si>
  <si>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</si>
  <si>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</si>
  <si>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</si>
  <si>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</si>
  <si>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</si>
  <si>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</si>
  <si>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</si>
  <si>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</si>
  <si>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</si>
  <si>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</si>
  <si>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</si>
  <si>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</si>
  <si>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</si>
  <si>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</si>
  <si>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</si>
  <si>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</si>
  <si>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</si>
  <si>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</si>
  <si>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</si>
  <si>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</si>
  <si>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</si>
  <si>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</si>
  <si>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</si>
  <si>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</si>
  <si>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</si>
  <si>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</si>
  <si>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</si>
  <si>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</si>
  <si>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</si>
  <si>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</si>
  <si>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</si>
  <si>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</si>
  <si>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</si>
  <si>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</si>
  <si>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</si>
  <si>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</si>
  <si>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</si>
  <si>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</si>
  <si>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</si>
  <si>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</si>
  <si>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</si>
  <si>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</si>
  <si>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</si>
  <si>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</si>
  <si>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</si>
  <si>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</si>
  <si>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</si>
  <si>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</si>
  <si>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</si>
  <si>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</si>
  <si>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</si>
  <si>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</si>
  <si>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</si>
  <si>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</si>
  <si>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</si>
  <si>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</si>
  <si>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</si>
  <si>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</si>
  <si>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</si>
  <si>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</si>
  <si>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</si>
  <si>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</si>
  <si>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</si>
  <si>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</si>
  <si>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</si>
  <si>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</si>
  <si>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</si>
  <si>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</si>
  <si>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</si>
  <si>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</si>
  <si>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</si>
  <si>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</si>
  <si>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</si>
  <si>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</si>
  <si>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</si>
  <si>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</si>
  <si>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</si>
  <si>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</si>
  <si>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</si>
  <si>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</si>
  <si>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</si>
  <si>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</si>
  <si>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</si>
  <si>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</si>
  <si>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</si>
  <si>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</si>
  <si>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</si>
  <si>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</si>
  <si>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</si>
  <si>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</si>
  <si>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</si>
  <si>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</si>
  <si>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</si>
  <si>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</si>
  <si>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</si>
  <si>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</si>
  <si>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</si>
  <si>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</si>
  <si>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</si>
  <si>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</si>
  <si>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</si>
  <si>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</si>
  <si>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</si>
  <si>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</si>
  <si>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</si>
  <si>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</si>
  <si>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</si>
  <si>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</si>
  <si>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</si>
  <si>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</si>
  <si>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</si>
  <si>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</si>
  <si>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</si>
  <si>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</si>
  <si>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</si>
  <si>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</si>
  <si>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</si>
  <si>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</si>
  <si>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</si>
  <si>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</si>
  <si>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</si>
  <si>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</si>
  <si>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</si>
  <si>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</si>
  <si>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</si>
  <si>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</si>
  <si>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</si>
  <si>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</si>
  <si>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</si>
  <si>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</si>
  <si>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</si>
  <si>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</si>
  <si>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</si>
  <si>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</si>
  <si>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</si>
  <si>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</si>
  <si>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</si>
  <si>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</si>
  <si>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</si>
  <si>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</si>
  <si>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</si>
  <si>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</si>
  <si>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</si>
  <si>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</si>
  <si>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</si>
  <si>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</si>
  <si>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</si>
  <si>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</si>
  <si>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</si>
  <si>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</si>
  <si>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</si>
  <si>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</si>
  <si>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</si>
  <si>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</si>
  <si>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</si>
  <si>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</si>
  <si>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</si>
  <si>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</si>
  <si>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</si>
  <si>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</si>
  <si>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</si>
  <si>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</si>
  <si>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</si>
  <si>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</si>
  <si>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</si>
  <si>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</si>
  <si>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</si>
  <si>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</si>
  <si>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</si>
  <si>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</si>
  <si>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</si>
  <si>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</si>
  <si>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</si>
  <si>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</si>
  <si>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</si>
  <si>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</si>
  <si>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</si>
  <si>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</si>
  <si>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</si>
  <si>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</si>
  <si>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</si>
  <si>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</si>
  <si>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</si>
  <si>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</si>
  <si>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</si>
  <si>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</si>
  <si>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</si>
  <si>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</si>
  <si>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</si>
  <si>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</si>
  <si>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</si>
  <si>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</si>
  <si>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</si>
  <si>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</si>
  <si>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</si>
  <si>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</si>
  <si>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</si>
  <si>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</si>
  <si>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</si>
  <si>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</si>
  <si>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</si>
  <si>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</si>
  <si>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</si>
  <si>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</si>
  <si>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</si>
  <si>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</si>
  <si>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</si>
  <si>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</si>
  <si>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</si>
  <si>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</si>
  <si>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</si>
  <si>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</si>
  <si>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</si>
  <si>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</si>
  <si>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</si>
  <si>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</si>
  <si>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</si>
  <si>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</si>
  <si>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</si>
  <si>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</si>
  <si>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</si>
  <si>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</si>
  <si>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</si>
  <si>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</si>
  <si>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</si>
  <si>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</si>
  <si>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</si>
  <si>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</si>
  <si>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</si>
  <si>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</si>
  <si>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</si>
  <si>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</si>
  <si>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</si>
  <si>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</si>
  <si>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</si>
  <si>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</si>
  <si>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</si>
  <si>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</si>
  <si>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</si>
  <si>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</si>
  <si>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</si>
  <si>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</si>
  <si>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</si>
  <si>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</si>
  <si>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</si>
  <si>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</si>
  <si>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</si>
  <si>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</si>
  <si>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</si>
  <si>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</si>
  <si>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</si>
  <si>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</si>
  <si>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</si>
  <si>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</si>
  <si>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</si>
  <si>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</si>
  <si>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</si>
  <si>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</si>
  <si>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</si>
  <si>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</si>
  <si>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</si>
  <si>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</si>
  <si>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</si>
  <si>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</si>
  <si>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</si>
  <si>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</si>
  <si>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</si>
  <si>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</si>
  <si>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</si>
  <si>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</si>
  <si>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</si>
  <si>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</si>
  <si>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</si>
  <si>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</si>
  <si>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</si>
  <si>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</si>
  <si>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</si>
  <si>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</si>
  <si>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</si>
  <si>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</si>
  <si>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</si>
  <si>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</si>
  <si>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</si>
  <si>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</si>
  <si>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</si>
  <si>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</si>
  <si>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</si>
  <si>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</si>
  <si>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</si>
  <si>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</si>
  <si>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</si>
  <si>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</si>
  <si>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</si>
  <si>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</si>
  <si>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</si>
  <si>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</si>
  <si>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</si>
  <si>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</si>
  <si>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</si>
  <si>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</si>
  <si>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</si>
  <si>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</si>
  <si>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</si>
  <si>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</si>
  <si>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</si>
  <si>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</si>
  <si>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</si>
  <si>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</si>
  <si>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</si>
  <si>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</si>
  <si>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</si>
  <si>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</si>
  <si>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</si>
  <si>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</si>
  <si>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</si>
  <si>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</si>
  <si>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</si>
  <si>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</si>
  <si>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</si>
  <si>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</si>
  <si>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</si>
  <si>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</si>
  <si>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</si>
  <si>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</si>
  <si>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</si>
  <si>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</si>
  <si>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</si>
  <si>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</si>
  <si>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</si>
  <si>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</si>
  <si>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</si>
  <si>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</si>
  <si>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</si>
  <si>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</si>
  <si>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</si>
  <si>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</si>
  <si>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</si>
  <si>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</si>
  <si>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</si>
  <si>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</si>
  <si>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</si>
  <si>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</si>
  <si>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</si>
  <si>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</si>
  <si>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</si>
  <si>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</si>
  <si>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</si>
  <si>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</si>
  <si>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</si>
  <si>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</si>
  <si>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</si>
  <si>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</si>
  <si>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</si>
  <si>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</si>
  <si>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</si>
  <si>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</si>
  <si>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</si>
  <si>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</si>
  <si>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</si>
  <si>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</si>
  <si>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</si>
  <si>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</si>
  <si>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</si>
  <si>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</si>
  <si>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</si>
  <si>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</si>
  <si>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</si>
  <si>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</si>
  <si>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</si>
  <si>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</si>
  <si>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</si>
  <si>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</si>
  <si>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</si>
  <si>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</si>
  <si>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</si>
  <si>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</si>
  <si>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</si>
  <si>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</si>
  <si>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</si>
  <si>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</si>
  <si>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</si>
  <si>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</si>
  <si>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</si>
  <si>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</si>
  <si>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</si>
  <si>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</si>
  <si>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</si>
  <si>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</si>
  <si>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</si>
  <si>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</si>
  <si>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</si>
  <si>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</si>
  <si>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</si>
  <si>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</si>
  <si>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</si>
  <si>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</si>
  <si>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</si>
  <si>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</si>
  <si>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</si>
  <si>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</si>
  <si>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</si>
  <si>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</si>
  <si>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</si>
  <si>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</si>
  <si>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</si>
  <si>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</si>
  <si>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</si>
  <si>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</si>
  <si>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</si>
  <si>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</si>
  <si>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</si>
  <si>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</si>
  <si>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</si>
  <si>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</si>
  <si>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</si>
  <si>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</si>
  <si>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</si>
  <si>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</si>
  <si>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</si>
  <si>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</si>
  <si>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</si>
  <si>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</si>
  <si>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</si>
  <si>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</si>
  <si>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</si>
  <si>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</si>
  <si>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</si>
  <si>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</si>
  <si>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</si>
  <si>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</si>
  <si>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</si>
  <si>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</si>
  <si>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</si>
  <si>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</si>
  <si>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</si>
  <si>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</si>
  <si>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</si>
  <si>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</si>
  <si>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</si>
  <si>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</si>
  <si>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</si>
  <si>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</si>
  <si>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</si>
  <si>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</si>
  <si>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</si>
  <si>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</si>
  <si>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</si>
  <si>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</si>
  <si>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</si>
  <si>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</si>
  <si>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</si>
  <si>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</si>
  <si>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</si>
  <si>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</si>
  <si>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</si>
  <si>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</si>
  <si>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</si>
  <si>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</si>
  <si>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</si>
  <si>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</si>
  <si>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</si>
  <si>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</si>
  <si>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</si>
  <si>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</si>
  <si>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</si>
  <si>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</si>
  <si>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</si>
  <si>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</si>
  <si>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</si>
  <si>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</si>
  <si>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</si>
  <si>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</si>
  <si>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</si>
  <si>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</si>
  <si>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</si>
  <si>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</si>
  <si>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</si>
  <si>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</si>
  <si>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</si>
  <si>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</si>
  <si>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</si>
  <si>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</si>
  <si>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</si>
  <si>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</si>
  <si>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</si>
  <si>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</si>
  <si>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</si>
  <si>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</si>
  <si>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</si>
  <si>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</si>
  <si>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</si>
  <si>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</si>
  <si>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</si>
  <si>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</si>
  <si>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</si>
  <si>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</si>
  <si>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</si>
  <si>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</si>
  <si>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</si>
  <si>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</si>
  <si>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</si>
  <si>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</si>
  <si>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</si>
  <si>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</si>
  <si>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</si>
  <si>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</si>
  <si>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</si>
  <si>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</si>
  <si>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</si>
  <si>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</si>
  <si>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</si>
  <si>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</si>
  <si>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</si>
  <si>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</si>
  <si>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</si>
  <si>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</si>
  <si>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</si>
  <si>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</si>
  <si>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</si>
  <si>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</si>
  <si>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</si>
  <si>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</si>
  <si>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</si>
  <si>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</si>
  <si>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</si>
  <si>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</si>
  <si>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</si>
  <si>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</si>
  <si>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</si>
  <si>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</si>
  <si>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</si>
  <si>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</si>
  <si>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</si>
  <si>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</si>
  <si>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</si>
  <si>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</si>
  <si>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</si>
  <si>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</si>
  <si>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</si>
  <si>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</si>
  <si>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</si>
  <si>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</si>
  <si>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</si>
  <si>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</si>
  <si>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</si>
  <si>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</si>
  <si>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</si>
  <si>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</si>
  <si>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</si>
  <si>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</si>
  <si>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</si>
  <si>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</si>
  <si>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</si>
  <si>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</si>
  <si>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</si>
  <si>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</si>
  <si>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</si>
  <si>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</si>
  <si>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</si>
  <si>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</si>
  <si>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</si>
  <si>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</si>
  <si>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</si>
  <si>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</si>
  <si>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</si>
  <si>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</si>
  <si>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</si>
  <si>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</si>
  <si>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</si>
  <si>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</si>
  <si>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</si>
  <si>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</si>
  <si>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</si>
  <si>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</si>
  <si>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</si>
  <si>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</si>
  <si>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</si>
  <si>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</si>
  <si>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</si>
  <si>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</si>
  <si>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</si>
  <si>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</si>
  <si>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</si>
  <si>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</si>
  <si>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</si>
  <si>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</si>
  <si>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</si>
  <si>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</si>
  <si>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</si>
  <si>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</si>
  <si>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</si>
  <si>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</si>
  <si>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</si>
  <si>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</si>
  <si>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</si>
  <si>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</si>
  <si>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</si>
  <si>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</si>
  <si>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</si>
  <si>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</si>
  <si>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</si>
  <si>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</si>
  <si>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</si>
  <si>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</si>
  <si>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</si>
  <si>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</si>
  <si>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</si>
  <si>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</si>
  <si>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</si>
  <si>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</si>
  <si>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</si>
  <si>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</si>
  <si>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</si>
  <si>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</si>
  <si>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</si>
  <si>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</si>
  <si>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</si>
  <si>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</si>
  <si>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</si>
  <si>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</si>
  <si>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</si>
  <si>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</si>
  <si>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</si>
  <si>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</si>
  <si>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</si>
  <si>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</si>
  <si>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</si>
  <si>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</si>
  <si>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</si>
  <si>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</si>
  <si>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</si>
  <si>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</si>
  <si>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</si>
  <si>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</si>
  <si>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</si>
  <si>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</si>
  <si>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</si>
  <si>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</si>
  <si>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</si>
  <si>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</si>
  <si>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</si>
  <si>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</si>
  <si>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</si>
  <si>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</si>
  <si>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</si>
  <si>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</si>
  <si>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</si>
  <si>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</si>
  <si>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</si>
  <si>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</si>
  <si>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</si>
  <si>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</si>
  <si>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</si>
  <si>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</si>
  <si>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</si>
  <si>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</si>
  <si>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</si>
  <si>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</si>
  <si>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</si>
  <si>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</si>
  <si>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</si>
  <si>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</si>
  <si>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</si>
  <si>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</si>
  <si>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</si>
  <si>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</si>
  <si>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</si>
  <si>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</si>
  <si>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</si>
  <si>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</si>
  <si>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</si>
  <si>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</si>
  <si>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</si>
  <si>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</si>
  <si>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</si>
  <si>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</si>
  <si>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</si>
  <si>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</si>
  <si>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</si>
  <si>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</si>
  <si>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</si>
  <si>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</si>
  <si>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</si>
  <si>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</si>
  <si>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</si>
  <si>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</si>
  <si>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</si>
  <si>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</si>
  <si>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</si>
  <si>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</si>
  <si>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</si>
  <si>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</si>
  <si>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</si>
  <si>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</si>
  <si>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</si>
  <si>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</si>
  <si>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</si>
  <si>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</si>
  <si>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</si>
  <si>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</si>
  <si>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</si>
  <si>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</si>
  <si>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</si>
  <si>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</si>
  <si>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</si>
  <si>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</si>
  <si>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</si>
  <si>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</si>
  <si>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</si>
  <si>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</si>
  <si>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</si>
  <si>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</si>
  <si>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</si>
  <si>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</si>
  <si>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</si>
  <si>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</si>
  <si>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</si>
  <si>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</si>
  <si>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</si>
  <si>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</si>
  <si>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</si>
  <si>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</si>
  <si>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</si>
  <si>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</si>
  <si>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</si>
  <si>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</si>
  <si>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</si>
  <si>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</si>
  <si>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</si>
  <si>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</si>
  <si>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</si>
  <si>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</si>
  <si>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</si>
  <si>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</si>
  <si>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</si>
  <si>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</si>
  <si>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</si>
  <si>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</si>
  <si>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</si>
  <si>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</si>
  <si>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</si>
  <si>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</si>
  <si>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</si>
  <si>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</si>
  <si>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</si>
  <si>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</si>
  <si>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</si>
  <si>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</si>
  <si>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</si>
  <si>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</si>
  <si>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</si>
  <si>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</si>
  <si>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</si>
  <si>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</si>
  <si>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</si>
  <si>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</si>
  <si>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</si>
  <si>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</si>
  <si>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</si>
  <si>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</si>
  <si>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</si>
  <si>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</si>
  <si>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</si>
  <si>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</si>
  <si>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</si>
  <si>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</si>
  <si>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</si>
  <si>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</si>
  <si>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</si>
  <si>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</si>
  <si>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</si>
  <si>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</si>
  <si>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</si>
  <si>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</si>
  <si>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</si>
  <si>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</si>
  <si>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</si>
  <si>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</si>
  <si>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</si>
  <si>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</si>
  <si>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</si>
  <si>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</si>
  <si>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</si>
  <si>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</si>
  <si>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</si>
  <si>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</si>
  <si>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</si>
  <si>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</si>
  <si>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</si>
  <si>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</si>
  <si>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</si>
  <si>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</si>
  <si>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</si>
  <si>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</si>
  <si>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</si>
  <si>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</si>
  <si>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</si>
  <si>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</si>
  <si>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</si>
  <si>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</si>
  <si>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</si>
  <si>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</si>
  <si>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</si>
  <si>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</si>
  <si>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</si>
  <si>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</si>
  <si>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</si>
  <si>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</si>
  <si>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</si>
  <si>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</si>
  <si>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</si>
  <si>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</si>
  <si>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</si>
  <si>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</si>
  <si>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</si>
  <si>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</si>
  <si>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</si>
  <si>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</si>
  <si>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</si>
  <si>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</si>
  <si>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</si>
  <si>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</si>
  <si>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</si>
  <si>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</si>
  <si>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</si>
  <si>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</si>
  <si>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</si>
  <si>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</si>
  <si>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</si>
  <si>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</si>
  <si>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</si>
  <si>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</si>
  <si>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</si>
  <si>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</si>
  <si>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</si>
  <si>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</si>
  <si>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</si>
  <si>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</si>
  <si>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</si>
  <si>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</si>
  <si>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</si>
  <si>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</si>
  <si>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</si>
  <si>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</si>
  <si>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</si>
  <si>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</si>
  <si>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</si>
  <si>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</si>
  <si>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</si>
  <si>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</si>
  <si>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</si>
  <si>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</si>
  <si>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</si>
  <si>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</si>
  <si>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</si>
  <si>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</si>
  <si>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</si>
  <si>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</si>
  <si>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</si>
  <si>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</si>
  <si>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</si>
  <si>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</si>
  <si>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</si>
  <si>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</si>
  <si>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</si>
  <si>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</si>
  <si>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</si>
  <si>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</si>
  <si>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</si>
  <si>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</si>
  <si>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</si>
  <si>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</si>
  <si>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</si>
  <si>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</si>
  <si>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</si>
  <si>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</si>
  <si>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</si>
  <si>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</si>
  <si>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</si>
  <si>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</si>
  <si>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</si>
  <si>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</si>
  <si>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</si>
  <si>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</si>
  <si>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</si>
  <si>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</si>
  <si>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</si>
  <si>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</si>
  <si>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</si>
  <si>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</si>
  <si>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</si>
  <si>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</si>
  <si>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</si>
  <si>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</si>
  <si>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</si>
  <si>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</si>
  <si>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</si>
  <si>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</si>
  <si>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</si>
  <si>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</si>
  <si>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</si>
  <si>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</si>
  <si>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</si>
  <si>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</si>
  <si>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</si>
  <si>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</si>
  <si>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</si>
  <si>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</si>
  <si>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</si>
  <si>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</si>
  <si>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</si>
  <si>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</si>
  <si>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</si>
  <si>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</si>
  <si>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</si>
  <si>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</si>
  <si>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</si>
  <si>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</si>
  <si>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</si>
  <si>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</si>
  <si>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</si>
  <si>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</si>
  <si>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</si>
  <si>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</si>
  <si>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</si>
  <si>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</si>
  <si>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</si>
  <si>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</si>
  <si>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</si>
  <si>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</si>
  <si>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</si>
  <si>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</si>
  <si>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</si>
  <si>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</si>
  <si>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</si>
  <si>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</si>
  <si>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</si>
  <si>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</si>
  <si>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</si>
  <si>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</si>
  <si>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</si>
  <si>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</si>
  <si>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</si>
  <si>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</si>
  <si>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</si>
  <si>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</si>
  <si>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</si>
  <si>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</si>
  <si>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</si>
  <si>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</si>
  <si>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</si>
  <si>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</si>
  <si>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</si>
  <si>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</si>
  <si>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</si>
  <si>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</si>
  <si>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</si>
  <si>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</si>
  <si>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</si>
  <si>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</si>
  <si>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</si>
  <si>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</si>
  <si>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</si>
  <si>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</si>
  <si>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</si>
  <si>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</si>
  <si>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</si>
  <si>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</si>
  <si>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</si>
  <si>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</si>
  <si>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</si>
  <si>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</si>
  <si>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</si>
  <si>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</si>
  <si>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</si>
  <si>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</si>
  <si>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</si>
  <si>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</si>
  <si>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</si>
  <si>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</si>
  <si>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</si>
  <si>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</si>
  <si>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</si>
  <si>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</si>
  <si>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</si>
  <si>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</si>
  <si>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</si>
  <si>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</si>
  <si>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</si>
  <si>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</si>
  <si>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</si>
  <si>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</si>
  <si>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</si>
  <si>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</si>
  <si>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</si>
  <si>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</si>
  <si>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</si>
  <si>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</si>
  <si>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</si>
  <si>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</si>
  <si>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</si>
  <si>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</si>
  <si>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</si>
  <si>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</si>
  <si>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</si>
  <si>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</si>
  <si>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</si>
  <si>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</si>
  <si>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</si>
  <si>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</si>
  <si>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</si>
  <si>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</si>
  <si>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</si>
  <si>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</si>
  <si>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</si>
  <si>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</si>
  <si>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</si>
  <si>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</si>
  <si>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</si>
  <si>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</si>
  <si>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</si>
  <si>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</si>
  <si>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</si>
  <si>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</si>
  <si>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</si>
  <si>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</si>
  <si>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</si>
  <si>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</si>
  <si>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</si>
  <si>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</si>
  <si>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</si>
  <si>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</si>
  <si>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</si>
  <si>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</si>
  <si>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</si>
  <si>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</si>
  <si>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</si>
  <si>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</si>
  <si>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</si>
  <si>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</si>
  <si>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</si>
  <si>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</si>
  <si>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</si>
  <si>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</si>
  <si>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</si>
  <si>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</si>
  <si>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</si>
  <si>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</si>
  <si>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</si>
  <si>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</si>
  <si>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</si>
  <si>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</si>
  <si>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</si>
  <si>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</si>
  <si>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</si>
  <si>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</si>
  <si>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</si>
  <si>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</si>
  <si>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</si>
  <si>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</si>
  <si>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</si>
  <si>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</si>
  <si>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</si>
  <si>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</si>
  <si>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</si>
  <si>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</si>
  <si>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</si>
  <si>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</si>
  <si>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</si>
  <si>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</si>
  <si>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</si>
  <si>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</si>
  <si>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</si>
  <si>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</si>
  <si>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</si>
  <si>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</si>
  <si>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</si>
  <si>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</si>
  <si>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</si>
  <si>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</si>
  <si>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</si>
  <si>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</si>
  <si>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</si>
  <si>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</si>
  <si>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</si>
  <si>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</si>
  <si>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</si>
  <si>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</si>
  <si>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</si>
  <si>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</si>
  <si>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</si>
  <si>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</si>
  <si>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</si>
  <si>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</si>
  <si>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</si>
  <si>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</si>
  <si>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</si>
  <si>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</si>
  <si>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</si>
  <si>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</si>
  <si>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</si>
  <si>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</si>
  <si>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</si>
  <si>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</si>
  <si>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</si>
  <si>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</si>
  <si>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</si>
  <si>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</si>
  <si>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</si>
  <si>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</si>
  <si>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</si>
  <si>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</si>
  <si>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</si>
  <si>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</si>
  <si>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</si>
  <si>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</si>
  <si>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</si>
  <si>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</si>
  <si>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</si>
  <si>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</si>
  <si>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</si>
  <si>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</si>
  <si>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</si>
  <si>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</si>
  <si>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</si>
  <si>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</si>
  <si>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</si>
  <si>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</si>
  <si>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</si>
  <si>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</si>
  <si>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</si>
  <si>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</si>
  <si>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</si>
  <si>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</si>
  <si>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</si>
  <si>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</si>
  <si>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</si>
  <si>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</si>
  <si>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</si>
  <si>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</si>
  <si>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</si>
  <si>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</si>
  <si>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</si>
  <si>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</si>
  <si>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</si>
  <si>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</si>
  <si>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</si>
  <si>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</si>
  <si>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</si>
  <si>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</si>
  <si>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</si>
  <si>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</si>
  <si>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</si>
  <si>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</si>
  <si>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</si>
  <si>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</si>
  <si>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</si>
  <si>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</si>
  <si>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</si>
  <si>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</si>
  <si>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</si>
  <si>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</si>
  <si>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</si>
  <si>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</si>
  <si>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</si>
  <si>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</si>
  <si>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</si>
  <si>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</si>
  <si>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</si>
  <si>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</si>
  <si>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</si>
  <si>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</si>
  <si>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</si>
  <si>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</si>
  <si>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</si>
  <si>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</si>
  <si>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</si>
  <si>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</si>
  <si>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</si>
  <si>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</si>
  <si>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</si>
  <si>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</si>
  <si>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</si>
  <si>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</si>
  <si>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</si>
  <si>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</si>
  <si>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</si>
  <si>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</si>
  <si>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</si>
  <si>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</si>
  <si>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</si>
  <si>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</si>
  <si>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</si>
  <si>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</si>
  <si>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</si>
  <si>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</si>
  <si>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</si>
  <si>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</si>
  <si>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</si>
  <si>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</si>
  <si>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</si>
  <si>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</si>
  <si>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</si>
  <si>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</si>
  <si>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</si>
  <si>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</si>
  <si>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</si>
  <si>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</si>
  <si>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</si>
  <si>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</si>
  <si>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</si>
  <si>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</si>
  <si>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</si>
  <si>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</si>
  <si>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</si>
  <si>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</si>
  <si>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</si>
  <si>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</si>
  <si>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</si>
  <si>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</si>
  <si>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</si>
  <si>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</si>
  <si>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</si>
  <si>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</si>
  <si>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</si>
  <si>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</si>
  <si>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</si>
  <si>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</si>
  <si>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</si>
  <si>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</si>
  <si>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</si>
  <si>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</si>
  <si>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</si>
  <si>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</si>
  <si>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</si>
  <si>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</si>
  <si>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</si>
  <si>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</si>
  <si>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</si>
  <si>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</si>
  <si>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</si>
  <si>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</si>
  <si>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</si>
  <si>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</si>
  <si>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</si>
  <si>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</si>
  <si>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</si>
  <si>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</si>
  <si>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</si>
  <si>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</si>
  <si>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</si>
  <si>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</si>
  <si>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</si>
  <si>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</si>
  <si>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</si>
  <si>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</si>
  <si>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</si>
  <si>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</si>
  <si>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</si>
  <si>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</si>
  <si>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</si>
  <si>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</si>
  <si>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</si>
  <si>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</si>
  <si>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</si>
  <si>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</si>
  <si>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</si>
  <si>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</si>
  <si>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</si>
  <si>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</si>
  <si>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</si>
  <si>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</si>
  <si>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</si>
  <si>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</si>
  <si>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</si>
  <si>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</si>
  <si>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</si>
  <si>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</si>
  <si>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</si>
  <si>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</si>
  <si>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</si>
  <si>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</si>
  <si>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</si>
  <si>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</si>
  <si>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</si>
  <si>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</si>
  <si>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</si>
  <si>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</si>
  <si>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</si>
  <si>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</si>
  <si>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</si>
  <si>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</si>
  <si>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</si>
  <si>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</si>
  <si>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</si>
  <si>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</si>
  <si>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</si>
  <si>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</si>
  <si>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</si>
  <si>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</si>
  <si>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</si>
  <si>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</si>
  <si>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</si>
  <si>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</si>
  <si>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</si>
  <si>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</si>
  <si>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</si>
  <si>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</si>
  <si>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</si>
  <si>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</si>
  <si>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</si>
  <si>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</si>
  <si>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</si>
  <si>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</si>
  <si>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</si>
  <si>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</si>
  <si>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</si>
  <si>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</si>
  <si>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</si>
  <si>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</si>
  <si>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</si>
  <si>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</si>
  <si>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</si>
  <si>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</si>
  <si>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</si>
  <si>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</si>
  <si>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</si>
  <si>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</si>
  <si>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</si>
  <si>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</si>
  <si>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</si>
  <si>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</si>
  <si>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</si>
  <si>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</si>
  <si>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</si>
  <si>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</si>
  <si>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</si>
  <si>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</si>
  <si>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</si>
  <si>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</si>
  <si>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</si>
  <si>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</si>
  <si>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</si>
  <si>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</si>
  <si>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</si>
  <si>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</si>
  <si>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</si>
  <si>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</si>
  <si>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</si>
  <si>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</si>
  <si>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</si>
  <si>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</si>
  <si>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</si>
  <si>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</si>
  <si>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</si>
  <si>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</si>
  <si>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</si>
  <si>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</si>
  <si>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</si>
  <si>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</si>
  <si>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</si>
  <si>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</si>
  <si>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</si>
  <si>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</si>
  <si>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</si>
  <si>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</si>
  <si>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</si>
  <si>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</si>
  <si>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</si>
  <si>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</si>
  <si>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</si>
  <si>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</si>
  <si>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</si>
  <si>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</si>
  <si>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</si>
  <si>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</si>
  <si>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</si>
  <si>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</si>
  <si>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</si>
  <si>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</si>
  <si>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</si>
  <si>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</si>
  <si>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</si>
  <si>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</si>
  <si>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</si>
  <si>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</si>
  <si>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</si>
  <si>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</si>
  <si>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</si>
  <si>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</si>
  <si>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</si>
  <si>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</si>
  <si>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</si>
  <si>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</si>
  <si>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</si>
  <si>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</si>
  <si>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</si>
  <si>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</si>
  <si>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</si>
  <si>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</si>
  <si>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</si>
  <si>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</si>
  <si>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</si>
  <si>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</si>
  <si>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</si>
  <si>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</si>
  <si>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</si>
  <si>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</si>
  <si>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</si>
  <si>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</si>
  <si>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</si>
  <si>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</si>
  <si>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</si>
  <si>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</si>
  <si>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</si>
  <si>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</si>
  <si>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</si>
  <si>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</si>
  <si>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</si>
  <si>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</si>
  <si>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</si>
  <si>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</si>
  <si>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</si>
  <si>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</si>
  <si>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</si>
  <si>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</si>
  <si>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</si>
  <si>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</si>
  <si>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</si>
  <si>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</si>
  <si>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</si>
  <si>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</si>
  <si>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</si>
  <si>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</si>
  <si>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</si>
  <si>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</si>
  <si>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</si>
  <si>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</si>
  <si>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</si>
  <si>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</si>
  <si>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</si>
  <si>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</si>
  <si>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</si>
  <si>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</si>
  <si>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</si>
  <si>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</si>
  <si>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</si>
  <si>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</si>
  <si>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</si>
  <si>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</si>
  <si>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</si>
  <si>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</si>
  <si>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</si>
  <si>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</si>
  <si>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</si>
  <si>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</si>
  <si>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</si>
  <si>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</si>
  <si>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</si>
  <si>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</si>
  <si>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</si>
  <si>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</si>
  <si>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</si>
  <si>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</si>
  <si>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</si>
  <si>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</si>
  <si>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</si>
  <si>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</si>
  <si>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</si>
  <si>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</si>
  <si>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</si>
  <si>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</si>
  <si>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</si>
  <si>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</si>
  <si>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</si>
  <si>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</si>
  <si>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</si>
  <si>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</si>
  <si>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</si>
  <si>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</si>
  <si>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</si>
  <si>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</si>
  <si>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</si>
  <si>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</si>
  <si>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</si>
  <si>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</si>
  <si>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</si>
  <si>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</si>
  <si>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</si>
  <si>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</si>
  <si>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</si>
  <si>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</si>
  <si>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</si>
  <si>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</si>
  <si>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</si>
  <si>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</si>
  <si>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</si>
  <si>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</si>
  <si>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</si>
  <si>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</si>
  <si>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</si>
  <si>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</si>
  <si>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</si>
  <si>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</si>
  <si>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</si>
  <si>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</si>
  <si>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</si>
  <si>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</si>
  <si>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</si>
  <si>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</si>
  <si>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</si>
  <si>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</si>
  <si>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</si>
  <si>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</si>
  <si>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</si>
  <si>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</si>
  <si>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</si>
  <si>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</si>
  <si>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</si>
  <si>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</si>
  <si>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</si>
  <si>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</si>
  <si>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</si>
  <si>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</si>
  <si>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</si>
  <si>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</si>
  <si>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</si>
  <si>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</si>
  <si>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</si>
  <si>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</si>
  <si>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</si>
  <si>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</si>
  <si>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</si>
  <si>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</si>
  <si>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</si>
  <si>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</si>
  <si>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</si>
  <si>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</si>
  <si>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</si>
  <si>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</si>
  <si>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</si>
  <si>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</si>
  <si>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</si>
  <si>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</si>
  <si>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</si>
  <si>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</si>
  <si>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</si>
  <si>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</si>
  <si>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</si>
  <si>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</si>
  <si>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</si>
  <si>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</si>
  <si>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</si>
  <si>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</si>
  <si>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</si>
  <si>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</si>
  <si>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</si>
  <si>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</si>
  <si>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</si>
  <si>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</si>
  <si>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</si>
  <si>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</si>
  <si>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</si>
  <si>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</si>
  <si>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</si>
  <si>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</si>
  <si>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</si>
  <si>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</si>
  <si>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</si>
  <si>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</si>
  <si>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</si>
  <si>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</si>
  <si>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</si>
  <si>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</si>
  <si>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</si>
  <si>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</si>
  <si>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</si>
  <si>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</si>
  <si>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</si>
  <si>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</si>
  <si>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</si>
  <si>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</si>
  <si>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</si>
  <si>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</si>
  <si>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</si>
  <si>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</si>
  <si>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</si>
  <si>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</si>
  <si>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</si>
  <si>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</si>
  <si>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</si>
  <si>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</si>
  <si>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</si>
  <si>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</si>
  <si>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</si>
  <si>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</si>
  <si>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</si>
  <si>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</si>
  <si>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</si>
  <si>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</si>
  <si>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</si>
  <si>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</si>
  <si>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</si>
  <si>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</si>
  <si>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</si>
  <si>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</si>
  <si>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</si>
  <si>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</si>
  <si>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</si>
  <si>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</si>
  <si>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</si>
  <si>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</si>
  <si>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</si>
  <si>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</si>
  <si>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</si>
  <si>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</si>
  <si>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</si>
  <si>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</si>
  <si>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</si>
  <si>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</si>
  <si>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</si>
  <si>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</si>
  <si>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</si>
  <si>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</si>
  <si>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</si>
  <si>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</si>
  <si>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</si>
  <si>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</si>
  <si>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</si>
  <si>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</si>
  <si>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</si>
  <si>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</si>
  <si>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</si>
  <si>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</si>
  <si>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</si>
  <si>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</si>
  <si>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</si>
  <si>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</si>
  <si>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</si>
  <si>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</si>
  <si>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</si>
  <si>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</si>
  <si>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</si>
  <si>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</si>
  <si>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</si>
  <si>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</si>
  <si>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</si>
  <si>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</si>
  <si>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</si>
  <si>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</si>
  <si>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</si>
  <si>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</si>
  <si>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</si>
  <si>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</si>
  <si>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</si>
  <si>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</si>
  <si>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</si>
  <si>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</si>
  <si>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</si>
  <si>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</si>
  <si>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</si>
  <si>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</si>
  <si>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</si>
  <si>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</si>
  <si>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</si>
  <si>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</si>
  <si>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</si>
  <si>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</si>
  <si>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</si>
  <si>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</si>
  <si>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</si>
  <si>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</si>
  <si>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</si>
  <si>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</si>
  <si>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</si>
  <si>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</si>
  <si>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</si>
  <si>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</si>
  <si>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</si>
  <si>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</si>
  <si>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</si>
  <si>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</si>
  <si>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</si>
  <si>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</si>
  <si>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</si>
  <si>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</si>
  <si>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</si>
  <si>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</si>
  <si>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</si>
  <si>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</si>
  <si>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</si>
  <si>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</si>
  <si>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</si>
  <si>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</si>
  <si>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</si>
  <si>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</si>
  <si>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</si>
  <si>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</si>
  <si>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</si>
  <si>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</si>
  <si>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</si>
  <si>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</si>
  <si>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</si>
  <si>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</si>
  <si>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</si>
  <si>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</si>
  <si>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</si>
  <si>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</si>
  <si>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</si>
  <si>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</si>
  <si>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</si>
  <si>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</si>
  <si>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</si>
  <si>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</si>
  <si>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</si>
  <si>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</si>
  <si>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</si>
  <si>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</si>
  <si>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</si>
  <si>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</si>
  <si>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</si>
  <si>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</si>
  <si>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</si>
  <si>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</si>
  <si>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</si>
  <si>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</si>
  <si>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</si>
  <si>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</si>
  <si>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</si>
  <si>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</si>
  <si>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</si>
  <si>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</si>
  <si>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</si>
  <si>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</si>
  <si>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</si>
  <si>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</si>
  <si>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</si>
  <si>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</si>
  <si>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</si>
  <si>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</si>
  <si>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</si>
  <si>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</si>
  <si>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</si>
  <si>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</si>
  <si>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</si>
  <si>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</si>
  <si>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</si>
  <si>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</si>
  <si>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</si>
  <si>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</si>
  <si>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</si>
  <si>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</si>
  <si>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</si>
  <si>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</si>
  <si>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</si>
  <si>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</si>
  <si>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</si>
  <si>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</si>
  <si>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</si>
  <si>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</si>
  <si>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</si>
  <si>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</si>
  <si>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</si>
  <si>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</si>
  <si>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</si>
  <si>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</si>
  <si>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</si>
  <si>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</si>
  <si>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</si>
  <si>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</si>
  <si>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</si>
  <si>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</si>
  <si>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</si>
  <si>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</si>
  <si>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</si>
  <si>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</si>
  <si>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</si>
  <si>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</si>
  <si>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</si>
  <si>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</si>
  <si>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</si>
  <si>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</si>
  <si>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</si>
  <si>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</si>
  <si>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</si>
  <si>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</si>
  <si>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</si>
  <si>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</si>
  <si>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</si>
  <si>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</si>
  <si>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</si>
  <si>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</si>
  <si>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</si>
  <si>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</si>
  <si>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</si>
  <si>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</si>
  <si>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</si>
  <si>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</si>
  <si>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</si>
  <si>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</si>
  <si>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</si>
  <si>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</si>
  <si>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</si>
  <si>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</si>
  <si>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</si>
  <si>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</si>
  <si>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</si>
  <si>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</si>
  <si>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</si>
  <si>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</si>
  <si>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</si>
  <si>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</si>
  <si>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</si>
  <si>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</si>
  <si>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</si>
  <si>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</si>
  <si>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</si>
  <si>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</si>
  <si>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</si>
  <si>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</si>
  <si>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</si>
  <si>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</si>
  <si>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</si>
  <si>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</si>
  <si>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</si>
  <si>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</si>
  <si>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</si>
  <si>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</si>
  <si>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</si>
  <si>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</si>
  <si>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</si>
  <si>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</si>
  <si>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</si>
  <si>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</si>
  <si>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</si>
  <si>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</si>
  <si>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</si>
  <si>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</si>
  <si>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</si>
  <si>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</si>
  <si>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</si>
  <si>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</si>
  <si>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</si>
  <si>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</si>
  <si>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</si>
  <si>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</si>
  <si>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</si>
  <si>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</si>
  <si>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</si>
  <si>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</si>
  <si>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</si>
  <si>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</si>
  <si>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</si>
  <si>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</si>
  <si>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</si>
  <si>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</si>
  <si>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</si>
  <si>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</si>
  <si>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</si>
  <si>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</si>
  <si>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</si>
  <si>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</si>
  <si>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</si>
  <si>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</si>
  <si>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</si>
  <si>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</si>
  <si>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</si>
  <si>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</si>
  <si>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</si>
  <si>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</si>
  <si>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</si>
  <si>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</si>
  <si>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</si>
  <si>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</si>
  <si>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</si>
  <si>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</si>
  <si>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</si>
  <si>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</si>
  <si>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</si>
  <si>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</si>
  <si>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</si>
  <si>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</si>
  <si>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</si>
  <si>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</si>
  <si>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</si>
  <si>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</si>
  <si>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</si>
  <si>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</si>
  <si>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</si>
  <si>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</si>
  <si>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</si>
  <si>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</si>
  <si>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</si>
  <si>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</si>
  <si>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</si>
  <si>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</si>
  <si>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</si>
  <si>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</si>
  <si>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</si>
  <si>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</si>
  <si>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</si>
  <si>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</si>
  <si>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</si>
  <si>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</si>
  <si>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</si>
  <si>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</si>
  <si>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</si>
  <si>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</si>
  <si>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</si>
  <si>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</si>
  <si>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</si>
  <si>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</si>
  <si>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</si>
  <si>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</si>
  <si>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</si>
  <si>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</si>
  <si>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</si>
  <si>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</si>
  <si>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</si>
  <si>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</si>
  <si>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</si>
  <si>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</si>
  <si>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</si>
  <si>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</si>
  <si>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</si>
  <si>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</si>
  <si>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</si>
  <si>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</si>
  <si>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</si>
  <si>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</si>
  <si>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</si>
  <si>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</si>
  <si>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</si>
  <si>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</si>
  <si>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</si>
  <si>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</si>
  <si>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</si>
  <si>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</si>
  <si>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</si>
  <si>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</si>
  <si>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</si>
  <si>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</si>
  <si>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</si>
  <si>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</si>
  <si>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</si>
  <si>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</si>
  <si>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</si>
  <si>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</si>
  <si>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</si>
  <si>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</si>
  <si>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</si>
  <si>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</si>
  <si>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</si>
  <si>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</si>
  <si>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</si>
  <si>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</si>
  <si>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</si>
  <si>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</si>
  <si>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</si>
  <si>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</si>
  <si>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</si>
  <si>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</si>
  <si>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</si>
  <si>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</si>
  <si>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</si>
  <si>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</si>
  <si>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</si>
  <si>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</si>
  <si>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</si>
  <si>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</si>
  <si>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</si>
  <si>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</si>
  <si>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</si>
  <si>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</si>
  <si>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</si>
  <si>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</si>
  <si>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</si>
  <si>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</si>
  <si>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</si>
  <si>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</si>
  <si>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</si>
  <si>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</si>
  <si>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</si>
  <si>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</si>
  <si>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</si>
  <si>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</si>
  <si>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</si>
  <si>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</si>
  <si>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</si>
  <si>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</si>
  <si>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</si>
  <si>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</si>
  <si>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</si>
  <si>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</si>
  <si>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</si>
  <si>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</si>
  <si>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</si>
  <si>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</si>
  <si>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</si>
  <si>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</si>
  <si>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</si>
  <si>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</si>
  <si>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</si>
  <si>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</si>
  <si>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</si>
  <si>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</si>
  <si>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</si>
  <si>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</si>
  <si>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</si>
  <si>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</si>
  <si>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</si>
  <si>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</si>
  <si>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</si>
  <si>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</si>
  <si>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</si>
  <si>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</si>
  <si>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</si>
  <si>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</si>
  <si>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</si>
  <si>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</si>
  <si>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</si>
  <si>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</si>
  <si>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</si>
  <si>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</si>
  <si>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</si>
  <si>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</si>
  <si>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</si>
  <si>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</si>
  <si>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</si>
  <si>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</si>
  <si>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</si>
  <si>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</si>
  <si>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</si>
  <si>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</si>
  <si>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</si>
  <si>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</si>
  <si>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</si>
  <si>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</si>
  <si>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</si>
  <si>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</si>
  <si>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</si>
  <si>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</si>
  <si>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</si>
  <si>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</si>
  <si>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</si>
  <si>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</si>
  <si>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</si>
  <si>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</si>
  <si>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</si>
  <si>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</si>
  <si>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</si>
  <si>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</si>
  <si>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</si>
  <si>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</si>
  <si>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</si>
  <si>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</si>
  <si>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</si>
  <si>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</si>
  <si>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</si>
  <si>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</si>
  <si>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</si>
  <si>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</si>
  <si>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</si>
  <si>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</si>
  <si>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</si>
  <si>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</si>
  <si>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</si>
  <si>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</si>
  <si>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</si>
  <si>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</si>
  <si>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</si>
  <si>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</si>
  <si>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</si>
  <si>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</si>
  <si>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</si>
  <si>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</si>
  <si>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</si>
  <si>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</si>
  <si>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</si>
  <si>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</si>
  <si>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</si>
  <si>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</si>
  <si>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</si>
  <si>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</si>
  <si>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</si>
  <si>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</si>
  <si>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</si>
  <si>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</si>
  <si>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</si>
  <si>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</si>
  <si>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</si>
  <si>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</si>
  <si>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</si>
  <si>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</si>
  <si>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</si>
  <si>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</si>
  <si>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</si>
  <si>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</si>
  <si>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</si>
  <si>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</si>
  <si>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</si>
  <si>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</si>
  <si>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</si>
  <si>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</si>
  <si>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</si>
  <si>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</si>
  <si>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</si>
  <si>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</si>
  <si>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</si>
  <si>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</si>
  <si>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</si>
  <si>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</si>
  <si>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</si>
  <si>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</si>
  <si>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</si>
  <si>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</si>
  <si>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</si>
  <si>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</si>
  <si>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</si>
  <si>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</si>
  <si>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</si>
  <si>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</si>
  <si>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</si>
  <si>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</si>
  <si>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</si>
  <si>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</si>
  <si>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</si>
  <si>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</si>
  <si>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</si>
  <si>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</si>
  <si>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</si>
  <si>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</si>
  <si>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</si>
  <si>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</si>
  <si>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</si>
  <si>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</si>
  <si>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</si>
  <si>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</si>
  <si>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</si>
  <si>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</si>
  <si>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</si>
  <si>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</si>
  <si>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</si>
  <si>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</si>
  <si>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</si>
  <si>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</si>
  <si>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</si>
  <si>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</si>
  <si>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</si>
  <si>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</si>
  <si>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</si>
  <si>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</si>
  <si>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</si>
  <si>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</si>
  <si>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</si>
  <si>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</si>
  <si>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</si>
  <si>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</si>
  <si>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</si>
  <si>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</si>
  <si>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</si>
  <si>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</si>
  <si>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</si>
  <si>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</si>
  <si>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</si>
  <si>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</si>
  <si>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</si>
  <si>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</si>
  <si>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</si>
  <si>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</si>
  <si>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</si>
  <si>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</si>
  <si>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</si>
  <si>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</si>
  <si>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</si>
  <si>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</si>
  <si>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</si>
  <si>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</si>
  <si>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</si>
  <si>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</si>
  <si>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</si>
  <si>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</si>
  <si>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</si>
  <si>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</si>
  <si>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</si>
  <si>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</si>
  <si>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</si>
  <si>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</si>
  <si>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</si>
  <si>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</si>
  <si>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</si>
  <si>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</si>
  <si>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</si>
  <si>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</si>
  <si>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</si>
  <si>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</si>
  <si>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</si>
  <si>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</si>
  <si>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</si>
  <si>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</si>
  <si>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</si>
  <si>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</si>
  <si>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</si>
  <si>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</si>
  <si>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</si>
  <si>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</si>
  <si>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</si>
  <si>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</si>
  <si>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</si>
  <si>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</si>
  <si>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</si>
  <si>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</si>
  <si>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</si>
  <si>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</si>
  <si>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</si>
  <si>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</si>
  <si>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</si>
  <si>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</si>
  <si>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</si>
  <si>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</si>
  <si>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</si>
  <si>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</si>
  <si>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</si>
  <si>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</si>
  <si>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</si>
  <si>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</si>
  <si>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</si>
  <si>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</si>
  <si>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</si>
  <si>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</si>
  <si>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</si>
  <si>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</si>
  <si>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</si>
  <si>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</si>
  <si>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</si>
  <si>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</si>
  <si>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</si>
  <si>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</si>
  <si>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</si>
  <si>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</si>
  <si>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</si>
  <si>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</si>
  <si>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</si>
  <si>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</si>
  <si>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</si>
  <si>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</si>
  <si>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</si>
  <si>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</si>
  <si>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</si>
  <si>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</si>
  <si>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</si>
  <si>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</si>
  <si>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</si>
  <si>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</si>
  <si>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</si>
  <si>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</si>
  <si>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</si>
  <si>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</si>
  <si>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</si>
  <si>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</si>
  <si>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</si>
  <si>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</si>
  <si>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</si>
  <si>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</si>
  <si>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</si>
  <si>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</si>
  <si>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</si>
  <si>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</si>
  <si>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</si>
  <si>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</si>
  <si>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</si>
  <si>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</si>
  <si>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</si>
  <si>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</si>
  <si>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</si>
  <si>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</si>
  <si>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</si>
  <si>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</si>
  <si>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</si>
  <si>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</si>
  <si>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</si>
  <si>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</si>
  <si>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</si>
  <si>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</si>
  <si>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</si>
  <si>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</si>
  <si>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</si>
  <si>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</si>
  <si>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</si>
  <si>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</si>
  <si>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</si>
  <si>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</si>
  <si>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</si>
  <si>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</si>
  <si>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</si>
  <si>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</si>
  <si>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</si>
  <si>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</si>
  <si>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</si>
  <si>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</si>
  <si>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</si>
  <si>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</si>
  <si>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</si>
  <si>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</si>
  <si>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</si>
  <si>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</si>
  <si>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</si>
  <si>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</si>
  <si>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</si>
  <si>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</si>
  <si>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</si>
  <si>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</si>
  <si>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</si>
  <si>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</si>
  <si>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</si>
  <si>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</si>
  <si>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</si>
  <si>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</si>
  <si>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</si>
  <si>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</si>
  <si>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</si>
  <si>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</si>
  <si>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</si>
  <si>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</si>
  <si>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</si>
  <si>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</si>
  <si>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</si>
  <si>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</si>
  <si>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</si>
  <si>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</si>
  <si>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</si>
  <si>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</si>
  <si>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</si>
  <si>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</si>
  <si>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</si>
  <si>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</si>
  <si>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</si>
  <si>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</si>
  <si>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</si>
  <si>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</si>
  <si>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</si>
  <si>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</si>
  <si>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</si>
  <si>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</si>
  <si>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</si>
  <si>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</si>
  <si>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</si>
  <si>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</si>
  <si>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</si>
  <si>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</si>
  <si>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</si>
  <si>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</si>
  <si>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</si>
  <si>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</si>
  <si>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</si>
  <si>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</si>
  <si>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</si>
  <si>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</si>
  <si>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</si>
  <si>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</si>
  <si>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</si>
  <si>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</si>
  <si>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</si>
  <si>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</si>
  <si>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</si>
  <si>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</si>
  <si>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</si>
  <si>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</si>
  <si>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</si>
  <si>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</si>
  <si>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</si>
  <si>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</si>
  <si>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</si>
  <si>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</si>
  <si>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</si>
  <si>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</si>
  <si>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</si>
  <si>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</si>
  <si>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</si>
  <si>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</si>
  <si>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</si>
  <si>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</si>
  <si>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</si>
  <si>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</si>
  <si>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</si>
  <si>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</si>
  <si>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</si>
  <si>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</si>
  <si>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</si>
  <si>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</si>
  <si>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</si>
  <si>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</si>
  <si>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</si>
  <si>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</si>
  <si>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</si>
  <si>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</si>
  <si>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</si>
  <si>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</si>
  <si>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</si>
  <si>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</si>
  <si>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</si>
  <si>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</si>
  <si>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</si>
  <si>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</si>
  <si>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</si>
  <si>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</si>
  <si>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</si>
  <si>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</si>
  <si>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</si>
  <si>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</si>
  <si>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</si>
  <si>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</si>
  <si>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</si>
  <si>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</si>
  <si>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</si>
  <si>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</si>
  <si>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</si>
  <si>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</si>
  <si>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</si>
  <si>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</si>
  <si>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</si>
  <si>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</si>
  <si>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</si>
  <si>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</si>
  <si>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</si>
  <si>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</si>
  <si>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</si>
  <si>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</si>
  <si>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</si>
  <si>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</si>
  <si>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</si>
  <si>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</si>
  <si>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</si>
  <si>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</si>
  <si>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</si>
  <si>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</si>
  <si>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</si>
  <si>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</si>
  <si>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</si>
  <si>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</si>
  <si>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</si>
  <si>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</si>
  <si>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</si>
  <si>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</si>
  <si>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</si>
  <si>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</si>
  <si>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</si>
  <si>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</si>
  <si>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</si>
  <si>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</si>
  <si>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</si>
  <si>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</si>
  <si>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</si>
  <si>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</si>
  <si>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</si>
  <si>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</si>
  <si>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</si>
  <si>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</si>
  <si>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</si>
  <si>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</si>
  <si>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</si>
  <si>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</si>
  <si>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</si>
  <si>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</si>
  <si>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</si>
  <si>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</si>
  <si>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</si>
  <si>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</si>
  <si>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</si>
  <si>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</si>
  <si>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</si>
  <si>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</si>
  <si>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</si>
  <si>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</si>
  <si>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</si>
  <si>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</si>
  <si>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</si>
  <si>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</si>
  <si>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</si>
  <si>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</si>
  <si>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</si>
  <si>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</si>
  <si>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</si>
  <si>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</si>
  <si>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</si>
  <si>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</si>
  <si>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</si>
  <si>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</si>
  <si>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</si>
  <si>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</si>
  <si>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</si>
  <si>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</si>
  <si>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</si>
  <si>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</si>
  <si>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</si>
  <si>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</si>
  <si>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</si>
  <si>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</si>
  <si>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</si>
  <si>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</si>
  <si>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</si>
  <si>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</si>
  <si>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</si>
  <si>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</si>
  <si>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</si>
  <si>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</si>
  <si>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</si>
  <si>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</si>
  <si>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</si>
  <si>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</si>
  <si>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</si>
  <si>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</si>
  <si>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</si>
  <si>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</si>
  <si>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</si>
  <si>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</si>
  <si>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</si>
  <si>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</si>
  <si>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</si>
  <si>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</si>
  <si>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</si>
  <si>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</si>
  <si>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</si>
  <si>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</si>
  <si>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</si>
  <si>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</si>
  <si>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</si>
  <si>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</si>
  <si>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</si>
  <si>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</si>
  <si>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</si>
  <si>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</si>
  <si>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</si>
  <si>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</si>
  <si>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</si>
  <si>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</si>
  <si>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</si>
  <si>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</si>
  <si>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</si>
  <si>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</si>
  <si>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</si>
  <si>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</si>
  <si>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</si>
  <si>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</si>
  <si>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</si>
  <si>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</si>
  <si>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</si>
  <si>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</si>
  <si>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</si>
  <si>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</si>
  <si>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</si>
  <si>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</si>
  <si>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</si>
  <si>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</si>
  <si>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</si>
  <si>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</si>
  <si>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</si>
  <si>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</si>
  <si>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</si>
  <si>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</si>
  <si>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</si>
  <si>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</si>
  <si>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</si>
  <si>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</si>
  <si>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</si>
  <si>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</si>
  <si>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</si>
  <si>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</si>
  <si>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</si>
  <si>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</si>
  <si>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</si>
  <si>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</si>
  <si>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</si>
  <si>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</si>
  <si>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</si>
  <si>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</si>
  <si>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</si>
  <si>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</si>
  <si>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</si>
  <si>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</si>
  <si>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</si>
  <si>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</si>
  <si>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</si>
  <si>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</si>
  <si>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</si>
  <si>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</si>
  <si>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</si>
  <si>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</si>
  <si>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</si>
  <si>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</si>
  <si>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</si>
  <si>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</si>
  <si>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</si>
  <si>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</si>
  <si>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</si>
  <si>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</si>
  <si>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</si>
  <si>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</si>
  <si>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</si>
  <si>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</si>
  <si>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</si>
  <si>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</si>
  <si>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</si>
  <si>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</si>
  <si>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</si>
  <si>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</si>
  <si>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</si>
  <si>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</si>
  <si>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</si>
  <si>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</si>
  <si>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</si>
  <si>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</si>
  <si>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</si>
  <si>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</si>
  <si>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</si>
  <si>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</si>
  <si>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</si>
  <si>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</si>
  <si>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</si>
  <si>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</si>
  <si>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</si>
  <si>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</si>
  <si>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</si>
  <si>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</si>
  <si>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</si>
  <si>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</si>
  <si>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</si>
  <si>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</si>
  <si>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</si>
  <si>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</si>
  <si>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</si>
  <si>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</si>
  <si>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</si>
  <si>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</si>
  <si>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</si>
  <si>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</si>
  <si>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</si>
  <si>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</si>
  <si>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</si>
  <si>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</si>
  <si>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</si>
  <si>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</si>
  <si>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</si>
  <si>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</si>
  <si>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</si>
  <si>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</si>
  <si>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</si>
  <si>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</si>
  <si>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</si>
  <si>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</si>
  <si>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</si>
  <si>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</si>
  <si>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</si>
  <si>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</si>
  <si>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</si>
  <si>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</si>
  <si>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</si>
  <si>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</si>
  <si>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</si>
  <si>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</si>
  <si>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</si>
  <si>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</si>
  <si>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</si>
  <si>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</si>
  <si>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</si>
  <si>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</si>
  <si>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</si>
  <si>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</si>
  <si>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</si>
  <si>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</si>
  <si>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</si>
  <si>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</si>
  <si>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</si>
  <si>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</si>
  <si>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</si>
  <si>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</si>
  <si>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</si>
  <si>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</si>
  <si>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</si>
  <si>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</si>
  <si>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</si>
  <si>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</si>
  <si>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</si>
  <si>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</si>
  <si>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</si>
  <si>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</si>
  <si>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</si>
  <si>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</si>
  <si>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</si>
  <si>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</si>
  <si>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</si>
  <si>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</si>
  <si>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</si>
  <si>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</si>
  <si>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</si>
  <si>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</si>
  <si>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</si>
  <si>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</si>
  <si>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</si>
  <si>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</si>
  <si>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</si>
  <si>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</si>
  <si>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</si>
  <si>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</si>
  <si>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</si>
  <si>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</si>
  <si>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</si>
  <si>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</si>
  <si>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</si>
  <si>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</si>
  <si>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</si>
  <si>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</si>
  <si>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</si>
  <si>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</si>
  <si>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</si>
  <si>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</si>
  <si>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</si>
  <si>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</si>
  <si>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</si>
  <si>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</si>
  <si>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</si>
  <si>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</si>
  <si>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</si>
  <si>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</si>
  <si>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</si>
  <si>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</si>
  <si>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</si>
  <si>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</si>
  <si>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</si>
  <si>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</si>
  <si>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</si>
  <si>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</si>
  <si>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</si>
  <si>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</si>
  <si>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</si>
  <si>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</si>
  <si>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</si>
  <si>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</si>
  <si>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</si>
  <si>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</si>
  <si>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</si>
  <si>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</si>
  <si>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</si>
  <si>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</si>
  <si>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</si>
  <si>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</si>
  <si>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</si>
  <si>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</si>
  <si>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</si>
  <si>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</si>
  <si>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</si>
  <si>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</si>
  <si>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</si>
  <si>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</si>
  <si>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</si>
  <si>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</si>
  <si>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</si>
  <si>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</si>
  <si>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</si>
  <si>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</si>
  <si>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</si>
  <si>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</si>
  <si>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</si>
  <si>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</si>
  <si>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</si>
  <si>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</si>
  <si>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</si>
  <si>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</si>
  <si>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</si>
  <si>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</si>
  <si>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</si>
  <si>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</si>
  <si>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</si>
  <si>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</si>
  <si>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</si>
  <si>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</si>
  <si>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</si>
  <si>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</si>
  <si>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</si>
  <si>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</si>
  <si>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</si>
  <si>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</si>
  <si>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</si>
  <si>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</si>
  <si>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</si>
  <si>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</si>
  <si>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</si>
  <si>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</si>
  <si>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</si>
  <si>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</si>
  <si>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</si>
  <si>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</si>
  <si>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</si>
  <si>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</si>
  <si>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</si>
  <si>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</si>
  <si>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</si>
  <si>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</si>
  <si>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</si>
  <si>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</si>
  <si>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</si>
  <si>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</si>
  <si>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</si>
  <si>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</si>
  <si>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</si>
  <si>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</si>
  <si>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</si>
  <si>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</si>
  <si>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</si>
  <si>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</si>
  <si>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</si>
  <si>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</si>
  <si>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</si>
  <si>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</si>
  <si>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</si>
  <si>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</si>
  <si>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</si>
  <si>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</si>
  <si>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</si>
  <si>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</si>
  <si>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</si>
  <si>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</si>
  <si>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</si>
  <si>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</si>
  <si>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</si>
  <si>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</si>
  <si>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</si>
  <si>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</si>
  <si>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</si>
  <si>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</si>
  <si>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</si>
  <si>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</si>
  <si>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</si>
  <si>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</si>
  <si>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</si>
  <si>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</si>
  <si>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</si>
  <si>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</si>
  <si>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</si>
  <si>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</si>
  <si>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</si>
  <si>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</si>
  <si>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</si>
  <si>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</si>
  <si>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</si>
  <si>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</si>
  <si>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</si>
  <si>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</si>
  <si>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</si>
  <si>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</si>
  <si>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</si>
  <si>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</si>
  <si>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</si>
  <si>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</si>
  <si>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</si>
  <si>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</si>
  <si>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</si>
  <si>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</si>
  <si>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</si>
  <si>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</si>
  <si>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</si>
  <si>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</si>
  <si>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</si>
  <si>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</si>
  <si>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</si>
  <si>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</si>
  <si>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</si>
  <si>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</si>
  <si>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</si>
  <si>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</si>
  <si>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</si>
  <si>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</si>
  <si>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</si>
  <si>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</si>
  <si>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</si>
  <si>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</si>
  <si>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</si>
  <si>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</si>
  <si>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</si>
  <si>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</si>
  <si>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</si>
  <si>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</si>
  <si>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</si>
  <si>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</si>
  <si>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</si>
  <si>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</si>
  <si>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</si>
  <si>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</si>
  <si>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</si>
  <si>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</si>
  <si>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</si>
  <si>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</si>
  <si>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</si>
  <si>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</si>
  <si>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</si>
  <si>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</si>
  <si>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</si>
  <si>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</si>
  <si>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</si>
  <si>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</si>
  <si>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</si>
  <si>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</si>
  <si>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</si>
  <si>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</si>
  <si>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</si>
  <si>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</si>
  <si>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</si>
  <si>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</si>
  <si>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</si>
  <si>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</si>
  <si>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</si>
  <si>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</si>
  <si>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</si>
  <si>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</si>
  <si>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</si>
  <si>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</si>
  <si>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</si>
  <si>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</si>
  <si>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</si>
  <si>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</si>
  <si>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</si>
  <si>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</si>
  <si>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</si>
  <si>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</si>
  <si>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</si>
  <si>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</si>
  <si>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</si>
  <si>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</si>
  <si>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</si>
  <si>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</si>
  <si>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</si>
  <si>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</si>
  <si>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</si>
  <si>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</si>
  <si>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</si>
  <si>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</si>
  <si>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</si>
  <si>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</si>
  <si>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</si>
  <si>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</si>
  <si>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</si>
  <si>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</si>
  <si>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</si>
  <si>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</si>
  <si>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</si>
  <si>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</si>
  <si>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</si>
  <si>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</si>
  <si>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</si>
  <si>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</si>
  <si>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</si>
  <si>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</si>
  <si>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</si>
  <si>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</si>
  <si>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</si>
  <si>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</si>
  <si>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</si>
  <si>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</si>
  <si>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</si>
  <si>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</si>
  <si>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</si>
  <si>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</si>
  <si>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</si>
  <si>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</si>
  <si>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</si>
  <si>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</si>
  <si>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</si>
  <si>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</si>
  <si>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</si>
  <si>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</si>
  <si>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</si>
  <si>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</si>
  <si>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</si>
  <si>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</si>
  <si>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</si>
  <si>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</si>
  <si>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</si>
  <si>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</si>
  <si>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</si>
  <si>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</si>
  <si>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</si>
  <si>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</si>
  <si>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</si>
  <si>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</si>
  <si>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</si>
  <si>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</si>
  <si>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</si>
  <si>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</si>
  <si>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</si>
  <si>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</si>
  <si>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</si>
  <si>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</si>
  <si>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</si>
  <si>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</si>
  <si>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</si>
  <si>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</si>
  <si>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</si>
  <si>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</si>
  <si>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</si>
  <si>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</si>
  <si>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</si>
  <si>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</si>
  <si>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</si>
  <si>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</si>
  <si>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</si>
  <si>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</si>
  <si>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</si>
  <si>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</si>
  <si>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</si>
  <si>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</si>
  <si>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</si>
  <si>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</si>
  <si>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</si>
  <si>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</si>
  <si>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</si>
  <si>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</si>
  <si>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</si>
  <si>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</si>
  <si>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</si>
  <si>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</si>
  <si>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</si>
  <si>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</si>
  <si>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</si>
  <si>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</si>
  <si>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</si>
  <si>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</si>
  <si>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</si>
  <si>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</si>
  <si>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</si>
  <si>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</si>
  <si>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</si>
  <si>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</si>
  <si>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</si>
  <si>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</si>
  <si>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</si>
  <si>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</si>
  <si>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</si>
  <si>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</si>
  <si>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</si>
  <si>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</si>
  <si>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</si>
  <si>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</si>
  <si>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</si>
  <si>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</si>
  <si>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</si>
  <si>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</si>
  <si>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</si>
  <si>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</si>
  <si>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</si>
  <si>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</si>
  <si>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</si>
  <si>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</si>
  <si>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</si>
  <si>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</si>
  <si>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</si>
  <si>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</si>
  <si>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</si>
  <si>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</si>
  <si>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</si>
  <si>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</si>
  <si>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</si>
  <si>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</si>
  <si>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</si>
  <si>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</si>
  <si>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</si>
  <si>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</si>
  <si>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</si>
  <si>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</si>
  <si>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</si>
  <si>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</si>
  <si>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</si>
  <si>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</si>
  <si>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</si>
  <si>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</si>
  <si>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</si>
  <si>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</si>
  <si>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</si>
  <si>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</si>
  <si>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</si>
  <si>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</si>
  <si>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</si>
  <si>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</si>
  <si>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</si>
  <si>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</si>
  <si>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</si>
  <si>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</si>
  <si>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</si>
  <si>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</si>
  <si>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</si>
  <si>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</si>
  <si>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</si>
  <si>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</si>
  <si>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</si>
  <si>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</si>
  <si>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</si>
  <si>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</si>
  <si>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</si>
  <si>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</si>
  <si>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</si>
  <si>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</si>
  <si>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</si>
  <si>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</si>
  <si>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</si>
  <si>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</si>
  <si>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</si>
  <si>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</si>
  <si>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</si>
  <si>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</si>
  <si>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</si>
  <si>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</si>
  <si>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</si>
  <si>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</si>
  <si>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</si>
  <si>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</si>
  <si>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</si>
  <si>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</si>
  <si>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</si>
  <si>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</si>
  <si>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</si>
  <si>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</si>
  <si>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</si>
  <si>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</si>
  <si>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</si>
  <si>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</si>
  <si>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</si>
  <si>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</si>
  <si>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</si>
  <si>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</si>
  <si>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</si>
  <si>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</si>
  <si>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</si>
  <si>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</si>
  <si>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</si>
  <si>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</si>
  <si>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</si>
  <si>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</si>
  <si>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</si>
  <si>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</si>
  <si>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</si>
  <si>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</si>
  <si>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</si>
  <si>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</si>
  <si>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</si>
  <si>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</si>
  <si>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</si>
  <si>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</si>
  <si>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</si>
  <si>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</si>
  <si>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</si>
  <si>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</si>
  <si>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</si>
  <si>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</si>
  <si>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</si>
  <si>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</si>
  <si>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</si>
  <si>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</si>
  <si>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</si>
  <si>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</si>
  <si>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</si>
  <si>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</si>
  <si>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</si>
  <si>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</si>
  <si>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</si>
  <si>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</si>
  <si>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</si>
  <si>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</si>
  <si>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</si>
  <si>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</si>
  <si>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</si>
  <si>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</si>
  <si>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</si>
  <si>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</si>
  <si>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</si>
  <si>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</si>
  <si>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</si>
  <si>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</si>
  <si>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</si>
  <si>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</si>
  <si>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</si>
  <si>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</si>
  <si>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</si>
  <si>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</si>
  <si>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</si>
  <si>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</si>
  <si>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</si>
  <si>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</si>
  <si>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</si>
  <si>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</si>
  <si>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</si>
  <si>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</si>
  <si>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</si>
  <si>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</si>
  <si>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</si>
  <si>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</si>
  <si>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</si>
  <si>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</si>
  <si>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</si>
  <si>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</si>
  <si>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</si>
  <si>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</si>
  <si>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</si>
  <si>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</si>
  <si>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</si>
  <si>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</si>
  <si>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</si>
  <si>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</si>
  <si>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</si>
  <si>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</si>
  <si>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</si>
  <si>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</si>
  <si>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</si>
  <si>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</si>
  <si>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</si>
  <si>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</si>
  <si>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</si>
  <si>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</si>
  <si>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</si>
  <si>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</si>
  <si>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</si>
  <si>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</si>
  <si>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</si>
  <si>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</si>
  <si>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</si>
  <si>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</si>
  <si>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</si>
  <si>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</si>
  <si>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</si>
  <si>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</si>
  <si>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</si>
  <si>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</si>
  <si>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</si>
  <si>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</si>
  <si>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</si>
  <si>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</si>
  <si>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</si>
  <si>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</si>
  <si>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</si>
  <si>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</si>
  <si>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</si>
  <si>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</si>
  <si>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</si>
  <si>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</si>
  <si>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</si>
  <si>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</si>
  <si>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</si>
  <si>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</si>
  <si>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</si>
  <si>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</si>
  <si>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</si>
  <si>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</si>
  <si>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</si>
  <si>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</si>
  <si>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</si>
  <si>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</si>
  <si>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</si>
  <si>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</si>
  <si>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</si>
  <si>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</si>
  <si>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</si>
  <si>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</si>
  <si>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</si>
  <si>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</si>
  <si>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</si>
  <si>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</si>
  <si>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</si>
  <si>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</si>
  <si>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</si>
  <si>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</si>
  <si>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</si>
  <si>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</si>
  <si>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</si>
  <si>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</si>
  <si>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</si>
  <si>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</si>
  <si>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</si>
  <si>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</si>
  <si>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</si>
  <si>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</si>
  <si>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</si>
  <si>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</si>
  <si>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</si>
  <si>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</si>
  <si>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</si>
  <si>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</si>
  <si>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</si>
  <si>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</si>
  <si>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</si>
  <si>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</si>
  <si>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</si>
  <si>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</si>
  <si>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</si>
  <si>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</si>
  <si>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</si>
  <si>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</si>
  <si>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</si>
  <si>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</si>
  <si>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</si>
  <si>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</si>
  <si>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</si>
  <si>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</si>
  <si>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</si>
  <si>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</si>
  <si>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</si>
  <si>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</si>
  <si>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</si>
  <si>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</si>
  <si>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</si>
  <si>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</si>
  <si>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</si>
  <si>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</si>
  <si>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</si>
  <si>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</si>
  <si>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</si>
  <si>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</si>
  <si>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</si>
  <si>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</si>
  <si>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</si>
  <si>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</si>
  <si>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</si>
  <si>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</si>
  <si>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</si>
  <si>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</si>
  <si>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</si>
  <si>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</si>
  <si>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</si>
  <si>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</si>
  <si>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</si>
  <si>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</si>
  <si>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</si>
  <si>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</si>
  <si>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</si>
  <si>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</si>
  <si>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</si>
  <si>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</si>
  <si>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</si>
  <si>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</si>
  <si>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</si>
  <si>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</si>
  <si>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</si>
  <si>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</si>
  <si>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</si>
  <si>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</si>
  <si>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</si>
  <si>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</si>
  <si>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</si>
  <si>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</si>
  <si>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</si>
  <si>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</si>
  <si>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</si>
  <si>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</si>
  <si>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</si>
  <si>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</si>
  <si>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</si>
  <si>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</si>
  <si>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</si>
  <si>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</si>
  <si>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</si>
  <si>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</si>
  <si>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</si>
  <si>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</si>
  <si>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</si>
  <si>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</si>
  <si>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</si>
  <si>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</si>
  <si>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</si>
  <si>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</si>
  <si>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</si>
  <si>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</si>
  <si>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</si>
  <si>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</si>
  <si>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</si>
  <si>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</si>
  <si>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</si>
  <si>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</si>
  <si>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</si>
  <si>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</si>
  <si>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</si>
  <si>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</si>
  <si>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</si>
  <si>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</si>
  <si>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</si>
  <si>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</si>
  <si>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</si>
  <si>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</si>
  <si>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</si>
  <si>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</si>
  <si>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</si>
  <si>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</si>
  <si>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</si>
  <si>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</si>
  <si>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</si>
  <si>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</si>
  <si>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</si>
  <si>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</si>
  <si>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</si>
  <si>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</si>
  <si>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</si>
  <si>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</si>
  <si>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</si>
  <si>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</si>
  <si>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</si>
  <si>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</si>
  <si>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</si>
  <si>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</si>
  <si>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</si>
  <si>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</si>
  <si>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</si>
  <si>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</si>
  <si>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</si>
  <si>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</si>
  <si>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</si>
  <si>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</si>
  <si>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</si>
  <si>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</si>
  <si>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</si>
  <si>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</si>
  <si>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</si>
  <si>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</si>
  <si>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</si>
  <si>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</si>
  <si>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</si>
  <si>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</si>
  <si>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</si>
  <si>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</si>
  <si>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</si>
  <si>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</si>
  <si>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</si>
  <si>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</si>
  <si>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</si>
  <si>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</si>
  <si>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</si>
  <si>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</si>
  <si>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</si>
  <si>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</si>
  <si>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</si>
  <si>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</si>
  <si>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</si>
  <si>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</si>
  <si>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</si>
  <si>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</si>
  <si>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</si>
  <si>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</si>
  <si>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</si>
  <si>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</si>
  <si>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</si>
  <si>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</si>
  <si>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</si>
  <si>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</si>
  <si>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</si>
  <si>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</si>
  <si>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</si>
  <si>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</si>
  <si>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</si>
  <si>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</si>
  <si>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</si>
  <si>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</si>
  <si>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</si>
  <si>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</si>
  <si>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</si>
  <si>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</si>
  <si>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</si>
  <si>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</si>
  <si>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</si>
  <si>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</si>
  <si>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</si>
  <si>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</si>
  <si>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</si>
  <si>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</si>
  <si>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</si>
  <si>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</si>
  <si>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</si>
  <si>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</si>
  <si>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</si>
  <si>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</si>
  <si>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</si>
  <si>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</si>
  <si>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</si>
  <si>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</si>
  <si>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</si>
  <si>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</si>
  <si>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</si>
  <si>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</si>
  <si>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</si>
  <si>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</si>
  <si>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</si>
  <si>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</si>
  <si>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</si>
  <si>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</si>
  <si>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</si>
  <si>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</si>
  <si>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</si>
  <si>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</si>
  <si>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</si>
  <si>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</si>
  <si>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</si>
  <si>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</si>
  <si>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</si>
  <si>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</si>
  <si>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</si>
  <si>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</si>
  <si>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</si>
  <si>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</si>
  <si>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</si>
  <si>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</si>
  <si>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</si>
  <si>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</si>
  <si>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</si>
  <si>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</si>
  <si>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</si>
  <si>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</si>
  <si>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</si>
  <si>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</si>
  <si>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</si>
  <si>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</si>
  <si>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</si>
  <si>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</si>
  <si>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</si>
  <si>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</si>
  <si>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</si>
  <si>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</si>
  <si>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</si>
  <si>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</si>
  <si>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</si>
  <si>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</si>
  <si>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</si>
  <si>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</si>
  <si>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</si>
  <si>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</si>
  <si>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</si>
  <si>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</si>
  <si>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</si>
  <si>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</si>
  <si>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</si>
  <si>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</si>
  <si>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</si>
  <si>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</si>
  <si>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</si>
  <si>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</si>
  <si>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</si>
  <si>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</si>
  <si>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</si>
  <si>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</si>
  <si>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</si>
  <si>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</si>
  <si>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</si>
  <si>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</si>
  <si>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</si>
  <si>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</si>
  <si>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</si>
  <si>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</si>
  <si>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</si>
  <si>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</si>
  <si>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</si>
  <si>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</si>
  <si>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</si>
  <si>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</si>
  <si>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</si>
  <si>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</si>
  <si>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</si>
  <si>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</si>
  <si>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</si>
  <si>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</si>
  <si>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</si>
  <si>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</si>
  <si>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</si>
  <si>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</si>
  <si>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</si>
  <si>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</si>
  <si>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</si>
  <si>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</si>
  <si>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</si>
  <si>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</si>
  <si>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</si>
  <si>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</si>
  <si>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</si>
  <si>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</si>
  <si>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</si>
  <si>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</si>
  <si>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</si>
  <si>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</si>
  <si>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</si>
  <si>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</si>
  <si>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</si>
  <si>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</si>
  <si>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</si>
  <si>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</si>
  <si>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</si>
  <si>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</si>
  <si>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</si>
  <si>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</si>
  <si>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</si>
  <si>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</si>
  <si>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</si>
  <si>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</si>
  <si>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</si>
  <si>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</si>
  <si>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</si>
  <si>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</si>
  <si>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</si>
  <si>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</si>
  <si>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</si>
  <si>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</si>
  <si>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</si>
  <si>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</si>
  <si>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</si>
  <si>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</si>
  <si>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</si>
  <si>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</si>
  <si>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</si>
  <si>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</si>
  <si>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</si>
  <si>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</si>
  <si>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</si>
  <si>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</si>
  <si>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</si>
  <si>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</si>
  <si>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</si>
  <si>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</si>
  <si>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</si>
  <si>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</si>
  <si>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</si>
  <si>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</si>
  <si>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</si>
  <si>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</si>
  <si>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</si>
  <si>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</si>
  <si>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</si>
  <si>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</si>
  <si>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</si>
  <si>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</si>
  <si>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</si>
  <si>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</si>
  <si>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</si>
  <si>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</si>
  <si>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</si>
  <si>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</si>
  <si>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</si>
  <si>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</si>
  <si>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</si>
  <si>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</si>
  <si>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</si>
  <si>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</si>
  <si>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</si>
  <si>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</si>
  <si>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</si>
  <si>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</si>
  <si>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</si>
  <si>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</si>
  <si>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</si>
  <si>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</si>
  <si>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</si>
  <si>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</si>
  <si>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</si>
  <si>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</si>
  <si>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</si>
  <si>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</si>
  <si>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</si>
  <si>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</si>
  <si>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</si>
  <si>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</si>
  <si>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</si>
  <si>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</si>
  <si>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</si>
  <si>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</si>
  <si>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</si>
  <si>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</si>
  <si>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</si>
  <si>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</si>
  <si>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</si>
  <si>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</si>
  <si>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</si>
  <si>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</si>
  <si>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</si>
  <si>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</si>
  <si>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</si>
  <si>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</si>
  <si>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</si>
  <si>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</si>
  <si>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</si>
  <si>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</si>
  <si>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</si>
  <si>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</si>
  <si>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</si>
  <si>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</si>
  <si>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</si>
  <si>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</si>
  <si>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</si>
  <si>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</si>
  <si>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</si>
  <si>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</si>
  <si>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</si>
  <si>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</si>
  <si>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</si>
  <si>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</si>
  <si>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</si>
  <si>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</si>
  <si>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</si>
  <si>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</si>
  <si>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</si>
  <si>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</si>
  <si>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</si>
  <si>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</si>
  <si>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</si>
  <si>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</si>
  <si>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</si>
  <si>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</si>
  <si>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</si>
  <si>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</si>
  <si>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</si>
  <si>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</si>
  <si>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</si>
  <si>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</si>
  <si>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</si>
  <si>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</si>
  <si>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</si>
  <si>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</si>
  <si>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</si>
  <si>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</si>
  <si>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</si>
  <si>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</si>
  <si>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</si>
  <si>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</si>
  <si>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</si>
  <si>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</si>
  <si>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</si>
  <si>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</si>
  <si>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</si>
  <si>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</si>
  <si>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</si>
  <si>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</si>
  <si>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</si>
  <si>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</si>
  <si>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</si>
  <si>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</si>
  <si>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</si>
  <si>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</si>
  <si>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</si>
  <si>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</si>
  <si>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</si>
  <si>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</si>
  <si>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</si>
  <si>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</si>
  <si>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</si>
  <si>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</si>
  <si>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</si>
  <si>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</si>
  <si>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</si>
  <si>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</si>
  <si>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</si>
  <si>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</si>
  <si>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</si>
  <si>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</si>
  <si>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</si>
  <si>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</si>
  <si>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</si>
  <si>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</si>
  <si>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</si>
  <si>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</si>
  <si>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</si>
  <si>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</si>
  <si>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</si>
  <si>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</si>
  <si>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</si>
  <si>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</si>
  <si>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</si>
  <si>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</si>
  <si>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</si>
  <si>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</si>
  <si>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</si>
  <si>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</si>
  <si>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</si>
  <si>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</si>
  <si>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</si>
  <si>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</si>
  <si>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</si>
  <si>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</si>
  <si>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</si>
  <si>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</si>
  <si>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</si>
  <si>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</si>
  <si>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</si>
  <si>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</si>
  <si>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</si>
  <si>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</si>
  <si>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</si>
  <si>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</si>
  <si>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</si>
  <si>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</si>
  <si>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</si>
  <si>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</si>
  <si>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</si>
  <si>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</si>
  <si>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</si>
  <si>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</si>
  <si>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</si>
  <si>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</si>
  <si>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</si>
  <si>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</si>
  <si>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</si>
  <si>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</si>
  <si>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</si>
  <si>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</si>
  <si>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</si>
  <si>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</si>
  <si>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</si>
  <si>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</si>
  <si>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</si>
  <si>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</si>
  <si>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</si>
  <si>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</si>
  <si>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</si>
  <si>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</si>
  <si>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</si>
  <si>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</si>
  <si>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</si>
  <si>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</si>
  <si>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</si>
  <si>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</si>
  <si>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</si>
  <si>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</si>
  <si>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</si>
  <si>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</si>
  <si>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</si>
  <si>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</si>
  <si>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</si>
  <si>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</si>
  <si>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</si>
  <si>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</si>
  <si>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</si>
  <si>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</si>
  <si>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</si>
  <si>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</si>
  <si>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</si>
  <si>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</si>
  <si>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</si>
  <si>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</si>
  <si>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</si>
  <si>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</si>
  <si>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</si>
  <si>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</si>
  <si>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</si>
  <si>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</si>
  <si>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</si>
  <si>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</si>
  <si>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</si>
  <si>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</si>
  <si>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</si>
  <si>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</si>
  <si>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</si>
  <si>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</si>
  <si>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</si>
  <si>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</si>
  <si>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</si>
  <si>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</si>
  <si>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</si>
  <si>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</si>
  <si>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</si>
  <si>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</si>
  <si>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</si>
  <si>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</si>
  <si>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</si>
  <si>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</si>
  <si>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</si>
  <si>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</si>
  <si>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</si>
  <si>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</si>
  <si>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</si>
  <si>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</si>
  <si>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</si>
  <si>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</si>
  <si>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</si>
  <si>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</si>
  <si>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</si>
  <si>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</si>
  <si>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</si>
  <si>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</si>
  <si>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</si>
  <si>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</si>
  <si>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</si>
  <si>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</si>
  <si>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</si>
  <si>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</si>
  <si>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</si>
  <si>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</si>
  <si>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</si>
  <si>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</si>
  <si>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</si>
  <si>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</si>
  <si>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</si>
  <si>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</si>
  <si>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</si>
  <si>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</si>
  <si>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</si>
  <si>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</si>
  <si>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</si>
  <si>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</si>
  <si>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</si>
  <si>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</si>
  <si>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</si>
  <si>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</si>
  <si>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</si>
  <si>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</si>
  <si>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</si>
  <si>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</si>
  <si>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</si>
  <si>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</si>
  <si>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</si>
  <si>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</si>
  <si>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</si>
  <si>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</si>
  <si>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</si>
  <si>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</si>
  <si>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</si>
  <si>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</si>
  <si>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</si>
  <si>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</si>
  <si>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</si>
  <si>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</si>
  <si>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</si>
  <si>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</si>
  <si>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</si>
  <si>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</si>
  <si>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</si>
  <si>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</si>
  <si>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</si>
  <si>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</si>
  <si>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</si>
  <si>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</si>
  <si>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</si>
  <si>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</si>
  <si>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</si>
  <si>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</si>
  <si>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</si>
  <si>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</si>
  <si>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</si>
  <si>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</si>
  <si>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</si>
  <si>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</si>
  <si>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</si>
  <si>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</si>
  <si>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</si>
  <si>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</si>
  <si>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</si>
  <si>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</si>
  <si>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</si>
  <si>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</si>
  <si>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</si>
  <si>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</si>
  <si>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</si>
  <si>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</si>
  <si>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</si>
  <si>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</si>
  <si>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</si>
  <si>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</si>
  <si>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</si>
  <si>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</si>
  <si>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</si>
  <si>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</si>
  <si>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</si>
  <si>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</si>
  <si>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</si>
  <si>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</si>
  <si>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</si>
  <si>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</si>
  <si>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</si>
  <si>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</si>
  <si>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</si>
  <si>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</si>
  <si>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</si>
  <si>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</si>
  <si>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</si>
  <si>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</si>
  <si>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</si>
  <si>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</si>
  <si>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</si>
  <si>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</si>
  <si>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</si>
  <si>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</si>
  <si>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</si>
  <si>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</si>
  <si>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</si>
  <si>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</si>
  <si>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</si>
  <si>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</si>
  <si>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</si>
  <si>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</si>
  <si>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</si>
  <si>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</si>
  <si>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</si>
  <si>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</si>
  <si>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</si>
  <si>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</si>
  <si>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</si>
  <si>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</si>
  <si>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</si>
  <si>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</si>
  <si>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</si>
  <si>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</si>
  <si>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</si>
  <si>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</si>
  <si>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</si>
  <si>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</si>
  <si>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</si>
  <si>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</si>
  <si>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</si>
  <si>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</si>
  <si>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</si>
  <si>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</si>
  <si>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</si>
  <si>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</si>
  <si>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</si>
  <si>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</si>
  <si>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</si>
  <si>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</si>
  <si>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</si>
  <si>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</si>
  <si>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</si>
  <si>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</si>
  <si>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</si>
  <si>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</si>
  <si>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</si>
  <si>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</si>
  <si>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</si>
  <si>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</si>
  <si>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</si>
  <si>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</si>
  <si>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</si>
  <si>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</si>
  <si>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</si>
  <si>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</si>
  <si>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</si>
  <si>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</si>
  <si>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</si>
  <si>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</si>
  <si>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</si>
  <si>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</si>
  <si>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</si>
  <si>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</si>
  <si>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</si>
  <si>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</si>
  <si>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</si>
  <si>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</si>
  <si>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</si>
  <si>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</si>
  <si>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</si>
  <si>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</si>
  <si>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</si>
  <si>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</si>
  <si>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</si>
  <si>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</si>
  <si>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</si>
  <si>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</si>
  <si>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</si>
  <si>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</si>
  <si>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</si>
  <si>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</si>
  <si>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</si>
  <si>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</si>
  <si>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</si>
  <si>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</si>
  <si>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</si>
  <si>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</si>
  <si>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</si>
  <si>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</si>
  <si>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</si>
  <si>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</si>
  <si>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</si>
  <si>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</si>
  <si>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</si>
  <si>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</si>
  <si>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</si>
  <si>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</si>
  <si>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</si>
  <si>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</si>
  <si>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</si>
  <si>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</si>
  <si>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</si>
  <si>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</si>
  <si>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</si>
  <si>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</si>
  <si>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</si>
  <si>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</si>
  <si>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</si>
  <si>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</si>
  <si>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</si>
  <si>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</si>
  <si>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</si>
  <si>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</si>
  <si>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</si>
  <si>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</si>
  <si>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</si>
  <si>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</si>
  <si>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</si>
  <si>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</si>
  <si>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</si>
  <si>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</si>
  <si>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</si>
  <si>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</si>
  <si>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</si>
  <si>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</si>
  <si>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</si>
  <si>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</si>
  <si>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</si>
  <si>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</si>
  <si>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</si>
  <si>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</si>
  <si>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</si>
  <si>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</si>
  <si>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</si>
  <si>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</si>
  <si>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</si>
  <si>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</si>
  <si>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</si>
  <si>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</si>
  <si>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</si>
  <si>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</si>
  <si>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</si>
  <si>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</si>
  <si>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</si>
  <si>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</si>
  <si>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</si>
  <si>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</si>
  <si>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</si>
  <si>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</si>
  <si>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</si>
  <si>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</si>
  <si>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</si>
  <si>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</si>
  <si>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</si>
  <si>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</si>
  <si>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</si>
  <si>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</si>
  <si>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</si>
  <si>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</si>
  <si>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</si>
  <si>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</si>
  <si>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</si>
  <si>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</si>
  <si>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</si>
  <si>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</si>
  <si>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</si>
  <si>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</si>
  <si>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</si>
  <si>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</si>
  <si>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</si>
  <si>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</si>
  <si>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</si>
  <si>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</si>
  <si>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</si>
  <si>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</si>
  <si>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</si>
  <si>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</si>
  <si>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</si>
  <si>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</si>
  <si>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</si>
  <si>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</si>
  <si>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</si>
  <si>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</si>
  <si>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</si>
  <si>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</si>
  <si>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</si>
  <si>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</si>
  <si>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</si>
  <si>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</si>
  <si>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</si>
  <si>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</si>
  <si>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</si>
  <si>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</si>
  <si>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</si>
  <si>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</si>
  <si>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</si>
  <si>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</si>
  <si>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</si>
  <si>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</si>
  <si>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</si>
  <si>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</si>
  <si>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</si>
  <si>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</si>
  <si>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</si>
  <si>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</si>
  <si>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</si>
  <si>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</si>
  <si>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</si>
  <si>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</si>
  <si>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</si>
  <si>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</si>
  <si>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</si>
  <si>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</si>
  <si>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</si>
  <si>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</si>
  <si>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</si>
  <si>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</si>
  <si>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</si>
  <si>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</si>
  <si>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</si>
  <si>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</si>
  <si>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</si>
  <si>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</si>
  <si>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</si>
  <si>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</si>
  <si>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</si>
  <si>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</si>
  <si>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</si>
  <si>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</si>
  <si>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</si>
  <si>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</si>
  <si>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</si>
  <si>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</si>
  <si>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</si>
  <si>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</si>
  <si>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</si>
  <si>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</si>
  <si>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</si>
  <si>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</si>
  <si>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</si>
  <si>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</si>
  <si>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</si>
  <si>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</si>
  <si>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</si>
  <si>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</si>
  <si>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</si>
  <si>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</si>
  <si>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</si>
  <si>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</si>
  <si>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</si>
  <si>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</si>
  <si>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</si>
  <si>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</si>
  <si>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</si>
  <si>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</si>
  <si>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</si>
  <si>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</si>
  <si>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</si>
  <si>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</si>
  <si>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</si>
  <si>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</si>
  <si>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</si>
  <si>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</si>
  <si>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</si>
  <si>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</si>
  <si>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</si>
  <si>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</si>
  <si>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</si>
  <si>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</si>
  <si>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</si>
  <si>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</si>
  <si>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</si>
  <si>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</si>
  <si>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</si>
  <si>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</si>
  <si>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</si>
  <si>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</si>
  <si>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</si>
  <si>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</si>
  <si>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</si>
  <si>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</si>
  <si>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</si>
  <si>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</si>
  <si>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</si>
  <si>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</si>
  <si>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</si>
  <si>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</si>
  <si>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</si>
  <si>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</si>
  <si>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</si>
  <si>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</si>
  <si>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</si>
  <si>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</si>
  <si>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</si>
  <si>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</si>
  <si>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</si>
  <si>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</si>
  <si>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</si>
  <si>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</si>
  <si>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</si>
  <si>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</si>
  <si>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</si>
  <si>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</si>
  <si>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</si>
  <si>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</si>
  <si>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</si>
  <si>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</si>
  <si>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</si>
  <si>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</si>
  <si>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</si>
  <si>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</si>
  <si>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</si>
  <si>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</si>
  <si>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</si>
  <si>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</si>
  <si>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</si>
  <si>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</si>
  <si>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</si>
  <si>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</si>
  <si>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</si>
  <si>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</si>
  <si>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</si>
  <si>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</si>
  <si>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</si>
  <si>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</si>
  <si>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</si>
  <si>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</si>
  <si>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</si>
  <si>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</si>
  <si>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</si>
  <si>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</si>
  <si>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</si>
  <si>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</si>
  <si>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</si>
  <si>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</si>
  <si>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</si>
  <si>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</si>
  <si>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</si>
  <si>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</si>
  <si>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</si>
  <si>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</si>
  <si>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</si>
  <si>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</si>
  <si>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</si>
  <si>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</si>
  <si>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</si>
  <si>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</si>
  <si>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</si>
  <si>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</si>
  <si>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</si>
  <si>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</si>
  <si>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</si>
  <si>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</si>
  <si>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</si>
  <si>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</si>
  <si>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</si>
  <si>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</si>
  <si>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</si>
  <si>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</si>
  <si>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</si>
  <si>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</si>
  <si>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</si>
  <si>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</si>
  <si>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</si>
  <si>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</si>
  <si>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</si>
  <si>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</si>
  <si>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</si>
  <si>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</si>
  <si>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</si>
  <si>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</si>
  <si>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</si>
  <si>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</si>
  <si>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</si>
  <si>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</si>
  <si>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</si>
  <si>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</si>
  <si>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</si>
  <si>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</si>
  <si>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</si>
  <si>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</si>
  <si>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</si>
  <si>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</si>
  <si>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</si>
  <si>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</si>
  <si>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</si>
  <si>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</si>
  <si>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</si>
  <si>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</si>
  <si>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</si>
  <si>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</si>
  <si>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</si>
  <si>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</si>
  <si>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</si>
  <si>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</si>
  <si>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</si>
  <si>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</si>
  <si>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</si>
  <si>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</si>
  <si>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</si>
  <si>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</si>
  <si>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</si>
  <si>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</si>
  <si>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</si>
  <si>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</si>
  <si>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</si>
  <si>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</si>
  <si>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</si>
  <si>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</si>
  <si>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</si>
  <si>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</si>
  <si>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</si>
  <si>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</si>
  <si>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</si>
  <si>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</si>
  <si>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</si>
  <si>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</si>
  <si>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</si>
  <si>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</si>
  <si>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</si>
  <si>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</si>
  <si>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</si>
  <si>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</si>
  <si>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</si>
  <si>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</si>
  <si>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</si>
  <si>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</si>
  <si>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</si>
  <si>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</si>
  <si>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</si>
  <si>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</si>
  <si>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</si>
  <si>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</si>
  <si>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</si>
  <si>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</si>
  <si>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</si>
  <si>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</si>
  <si>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</si>
  <si>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</si>
  <si>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</si>
  <si>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</si>
  <si>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</si>
  <si>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</si>
  <si>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</si>
  <si>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</si>
  <si>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</si>
  <si>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</si>
  <si>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</si>
  <si>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</si>
  <si>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</si>
  <si>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</si>
  <si>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</si>
  <si>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</si>
  <si>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</si>
  <si>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</si>
  <si>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</si>
  <si>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</si>
  <si>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</si>
  <si>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</si>
  <si>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</si>
  <si>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</si>
  <si>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</si>
  <si>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</si>
  <si>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</si>
  <si>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</si>
  <si>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</si>
  <si>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</si>
  <si>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</si>
  <si>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</si>
  <si>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</si>
  <si>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</si>
  <si>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</si>
  <si>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</si>
  <si>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</si>
  <si>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</si>
  <si>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</si>
  <si>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</si>
  <si>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</si>
  <si>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</si>
  <si>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</si>
  <si>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</si>
  <si>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</si>
  <si>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</si>
  <si>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</si>
  <si>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</si>
  <si>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</si>
  <si>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</si>
  <si>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</si>
  <si>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</si>
  <si>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</si>
  <si>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</si>
  <si>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</si>
  <si>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</si>
  <si>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</si>
  <si>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</si>
  <si>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</si>
  <si>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</si>
  <si>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</si>
  <si>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</si>
  <si>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</si>
  <si>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</si>
  <si>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</si>
  <si>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</si>
  <si>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</si>
  <si>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</si>
  <si>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</si>
  <si>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</si>
  <si>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</si>
  <si>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</si>
  <si>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</si>
  <si>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</si>
  <si>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</si>
  <si>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</si>
  <si>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</si>
  <si>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</si>
  <si>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</si>
  <si>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</si>
  <si>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</si>
  <si>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</si>
  <si>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</si>
  <si>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</si>
  <si>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</si>
  <si>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</si>
  <si>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</si>
  <si>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</si>
  <si>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</si>
  <si>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</si>
  <si>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</si>
  <si>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</si>
  <si>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</si>
  <si>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</si>
  <si>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</si>
  <si>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</si>
  <si>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</si>
  <si>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</si>
  <si>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</si>
  <si>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</si>
  <si>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</si>
  <si>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</si>
  <si>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</si>
  <si>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</si>
  <si>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</si>
  <si>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</si>
  <si>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</si>
  <si>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</si>
  <si>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</si>
  <si>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</si>
  <si>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</si>
  <si>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</si>
  <si>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</si>
  <si>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</si>
  <si>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</si>
  <si>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</si>
  <si>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</si>
  <si>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</si>
  <si>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</si>
  <si>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</si>
  <si>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</si>
  <si>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</si>
  <si>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</si>
  <si>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</si>
  <si>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</si>
  <si>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</si>
  <si>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</si>
  <si>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</si>
  <si>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</si>
  <si>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</si>
  <si>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</si>
  <si>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</si>
  <si>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</si>
  <si>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</si>
  <si>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</si>
  <si>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</si>
  <si>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</si>
  <si>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</si>
  <si>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</si>
  <si>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</si>
  <si>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</si>
  <si>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</si>
  <si>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</si>
  <si>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</si>
  <si>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</si>
  <si>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</si>
  <si>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</si>
  <si>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</si>
  <si>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</si>
  <si>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</si>
  <si>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</si>
  <si>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</si>
  <si>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</si>
  <si>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</si>
  <si>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</si>
  <si>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</si>
  <si>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</si>
  <si>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</si>
  <si>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</si>
  <si>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</si>
  <si>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</si>
  <si>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</si>
  <si>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</si>
  <si>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</si>
  <si>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</si>
  <si>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</si>
  <si>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</si>
  <si>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</si>
  <si>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</si>
  <si>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</si>
  <si>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</si>
  <si>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</si>
  <si>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</si>
  <si>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</si>
  <si>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</si>
  <si>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</si>
  <si>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</si>
  <si>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</si>
  <si>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</si>
  <si>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</si>
  <si>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</si>
  <si>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</si>
  <si>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</si>
  <si>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</si>
  <si>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</si>
  <si>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</si>
  <si>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</si>
  <si>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</si>
  <si>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</si>
  <si>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</si>
  <si>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</si>
  <si>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</si>
  <si>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</si>
  <si>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</si>
  <si>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</si>
  <si>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</si>
  <si>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</si>
  <si>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</si>
  <si>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</si>
  <si>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</si>
  <si>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</si>
  <si>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</si>
  <si>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</si>
  <si>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</si>
  <si>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</si>
  <si>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</si>
  <si>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</si>
  <si>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</si>
  <si>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</si>
  <si>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</si>
  <si>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</si>
  <si>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</si>
  <si>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</si>
  <si>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</si>
  <si>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</si>
  <si>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</si>
  <si>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</si>
  <si>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</si>
  <si>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</si>
  <si>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</si>
  <si>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</si>
  <si>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</si>
  <si>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</si>
  <si>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</si>
  <si>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</si>
  <si>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</si>
  <si>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</si>
  <si>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</si>
  <si>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</si>
  <si>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</si>
  <si>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</si>
  <si>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</si>
  <si>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</si>
  <si>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</si>
  <si>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</si>
  <si>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</si>
  <si>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</si>
  <si>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</si>
  <si>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</si>
  <si>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</si>
  <si>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</si>
  <si>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</si>
  <si>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</si>
  <si>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</si>
  <si>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</si>
  <si>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</si>
  <si>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</si>
  <si>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</si>
  <si>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</si>
  <si>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</si>
  <si>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</si>
  <si>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</si>
  <si>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</si>
  <si>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</si>
  <si>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</si>
  <si>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</si>
  <si>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</si>
  <si>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</si>
  <si>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</si>
  <si>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</si>
  <si>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</si>
  <si>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</si>
  <si>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</si>
  <si>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</si>
  <si>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</si>
  <si>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</si>
  <si>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</si>
  <si>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</si>
  <si>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</si>
  <si>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</si>
  <si>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</si>
  <si>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</si>
  <si>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</si>
  <si>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</si>
  <si>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</si>
  <si>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</si>
  <si>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</si>
  <si>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</si>
  <si>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</si>
  <si>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</si>
  <si>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</si>
  <si>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</si>
  <si>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</si>
  <si>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</si>
  <si>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</si>
  <si>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</si>
  <si>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</si>
  <si>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</si>
  <si>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</si>
  <si>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</si>
  <si>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</si>
  <si>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</si>
  <si>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</si>
  <si>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</si>
  <si>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</si>
  <si>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</si>
  <si>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</si>
  <si>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</si>
  <si>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</si>
  <si>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</si>
  <si>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</si>
  <si>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</si>
  <si>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</si>
  <si>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</si>
  <si>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</si>
  <si>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</si>
  <si>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</si>
  <si>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</si>
  <si>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</si>
  <si>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</si>
  <si>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</si>
  <si>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</si>
  <si>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</si>
  <si>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</si>
  <si>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</si>
  <si>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</si>
  <si>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</si>
  <si>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</si>
  <si>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</si>
  <si>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</si>
  <si>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</si>
  <si>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</si>
  <si>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</si>
  <si>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</si>
  <si>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</si>
  <si>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</si>
  <si>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</si>
  <si>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</si>
  <si>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</si>
  <si>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</si>
  <si>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</si>
  <si>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</si>
  <si>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</si>
  <si>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</si>
  <si>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</si>
  <si>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</si>
  <si>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</si>
  <si>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</si>
  <si>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</si>
  <si>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</si>
  <si>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</si>
  <si>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</si>
  <si>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</si>
  <si>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</si>
  <si>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</si>
  <si>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</si>
  <si>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</si>
  <si>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</si>
  <si>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</si>
  <si>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</si>
  <si>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</si>
  <si>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</si>
  <si>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</si>
  <si>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</si>
  <si>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</si>
  <si>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</si>
  <si>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</si>
  <si>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</si>
  <si>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</si>
  <si>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</si>
  <si>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</si>
  <si>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</si>
  <si>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</si>
  <si>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</si>
  <si>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</si>
  <si>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</si>
  <si>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</si>
  <si>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</si>
  <si>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</si>
  <si>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</si>
  <si>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</si>
  <si>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</si>
  <si>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</si>
  <si>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</si>
  <si>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</si>
  <si>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</si>
  <si>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</si>
  <si>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</si>
  <si>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</si>
  <si>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</si>
  <si>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</si>
  <si>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</si>
  <si>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</si>
  <si>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</si>
  <si>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</si>
  <si>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</si>
  <si>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</si>
  <si>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</si>
  <si>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</si>
  <si>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</si>
  <si>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</si>
  <si>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</si>
  <si>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</si>
  <si>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</si>
  <si>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</si>
  <si>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</si>
  <si>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</si>
  <si>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</si>
  <si>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</si>
  <si>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</si>
  <si>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</si>
  <si>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</si>
  <si>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</si>
  <si>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</si>
  <si>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</si>
  <si>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</si>
  <si>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</si>
  <si>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</si>
  <si>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</si>
  <si>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</si>
  <si>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</si>
  <si>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</si>
  <si>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</si>
  <si>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</si>
  <si>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</si>
  <si>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</si>
  <si>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</si>
  <si>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</si>
  <si>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</si>
  <si>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</si>
  <si>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</si>
  <si>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</si>
  <si>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</si>
  <si>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</si>
  <si>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</si>
  <si>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</si>
  <si>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</si>
  <si>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</si>
  <si>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</si>
  <si>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</si>
  <si>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</si>
  <si>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</si>
  <si>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</si>
  <si>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</si>
  <si>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</si>
  <si>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</si>
  <si>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</si>
  <si>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</si>
  <si>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</si>
  <si>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</si>
  <si>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</si>
  <si>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</si>
  <si>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</si>
  <si>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</si>
  <si>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</si>
  <si>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</si>
  <si>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</si>
  <si>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</si>
  <si>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</si>
  <si>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</si>
  <si>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</si>
  <si>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</si>
  <si>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</si>
  <si>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</si>
  <si>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</si>
  <si>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</si>
  <si>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</si>
  <si>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</si>
  <si>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</si>
  <si>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</si>
  <si>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</si>
  <si>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</si>
  <si>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</si>
  <si>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</si>
  <si>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</si>
  <si>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</si>
  <si>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</si>
  <si>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</si>
  <si>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</si>
  <si>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</si>
  <si>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</si>
  <si>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</si>
  <si>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</si>
  <si>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</si>
  <si>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</si>
  <si>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</si>
  <si>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</si>
  <si>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</si>
  <si>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</si>
  <si>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</si>
  <si>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</si>
  <si>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</si>
  <si>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</si>
  <si>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</si>
  <si>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</si>
  <si>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</si>
  <si>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</si>
  <si>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</si>
  <si>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</si>
  <si>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</si>
  <si>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</si>
  <si>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</si>
  <si>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</si>
  <si>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</si>
  <si>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</si>
  <si>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</si>
  <si>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</si>
  <si>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</si>
  <si>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</si>
  <si>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</si>
  <si>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</si>
  <si>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</si>
  <si>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</si>
  <si>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</si>
  <si>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</si>
  <si>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</si>
  <si>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</si>
  <si>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</si>
  <si>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</si>
  <si>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</si>
  <si>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</si>
  <si>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</si>
  <si>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</si>
  <si>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</si>
  <si>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</si>
  <si>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</si>
  <si>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</si>
  <si>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</si>
  <si>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</si>
  <si>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</si>
  <si>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</si>
  <si>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</si>
  <si>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</si>
  <si>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</si>
  <si>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</si>
  <si>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</si>
  <si>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</si>
  <si>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</si>
  <si>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</si>
  <si>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</si>
  <si>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</si>
  <si>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</si>
  <si>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</si>
  <si>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</si>
  <si>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</si>
  <si>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</si>
  <si>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</si>
  <si>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</si>
  <si>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</si>
  <si>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</si>
  <si>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</si>
  <si>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</si>
  <si>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</si>
  <si>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</si>
  <si>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</si>
  <si>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</si>
  <si>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</si>
  <si>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</si>
  <si>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</si>
  <si>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</si>
  <si>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</si>
  <si>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</si>
  <si>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</si>
  <si>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</si>
  <si>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</si>
  <si>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</si>
  <si>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</si>
  <si>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</si>
  <si>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</si>
  <si>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</si>
  <si>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</si>
  <si>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</si>
  <si>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</si>
  <si>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</si>
  <si>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</si>
  <si>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</si>
  <si>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</si>
  <si>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</si>
  <si>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</si>
  <si>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</si>
  <si>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</si>
  <si>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</si>
  <si>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</si>
  <si>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</si>
  <si>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</si>
  <si>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</si>
  <si>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</si>
  <si>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</si>
  <si>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</si>
  <si>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</si>
  <si>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</si>
  <si>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</si>
  <si>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</si>
  <si>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</si>
  <si>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</si>
  <si>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</si>
  <si>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</si>
  <si>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</si>
  <si>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</si>
  <si>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</si>
  <si>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</si>
  <si>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</si>
  <si>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</si>
  <si>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</si>
  <si>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</si>
  <si>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</si>
  <si>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</si>
  <si>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</si>
  <si>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</si>
  <si>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</si>
  <si>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</si>
  <si>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</si>
  <si>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</si>
  <si>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</si>
  <si>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</si>
  <si>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</si>
  <si>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</si>
  <si>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</si>
  <si>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</si>
  <si>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</si>
  <si>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</si>
  <si>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</si>
  <si>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</si>
  <si>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</si>
  <si>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</si>
  <si>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</si>
  <si>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</si>
  <si>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</si>
  <si>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</si>
  <si>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</si>
  <si>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</si>
  <si>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</si>
  <si>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</si>
  <si>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</si>
  <si>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</si>
  <si>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</si>
  <si>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</si>
  <si>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</si>
  <si>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</si>
  <si>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</si>
  <si>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</si>
  <si>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</si>
  <si>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</si>
  <si>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</si>
  <si>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</si>
  <si>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</si>
  <si>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</si>
  <si>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</si>
  <si>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</si>
  <si>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</si>
  <si>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</si>
  <si>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</si>
  <si>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</si>
  <si>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</si>
  <si>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</si>
  <si>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</si>
  <si>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</si>
  <si>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</si>
  <si>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</si>
  <si>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</si>
  <si>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</si>
  <si>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</si>
  <si>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</si>
  <si>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</si>
  <si>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</si>
  <si>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</si>
  <si>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</si>
  <si>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</si>
  <si>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</si>
  <si>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</si>
  <si>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</si>
  <si>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</si>
  <si>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</si>
  <si>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</si>
  <si>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</si>
  <si>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</si>
  <si>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</si>
  <si>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</si>
  <si>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</si>
  <si>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</si>
  <si>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</si>
  <si>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</si>
  <si>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</si>
  <si>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</si>
  <si>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</si>
  <si>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</si>
  <si>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</si>
  <si>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</si>
  <si>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</si>
  <si>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</si>
  <si>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</si>
  <si>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</si>
  <si>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</si>
  <si>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</si>
  <si>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</si>
  <si>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</si>
  <si>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</si>
  <si>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</si>
  <si>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</si>
  <si>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</si>
  <si>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</si>
  <si>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</si>
  <si>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</si>
  <si>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</si>
  <si>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</si>
  <si>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</si>
  <si>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</si>
  <si>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</si>
  <si>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</si>
  <si>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</si>
  <si>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</si>
  <si>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</si>
  <si>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</si>
  <si>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</si>
  <si>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</si>
  <si>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</si>
  <si>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</si>
  <si>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</si>
  <si>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</si>
  <si>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</si>
  <si>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</si>
  <si>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</si>
  <si>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</si>
  <si>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</si>
  <si>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</si>
  <si>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</si>
  <si>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</si>
  <si>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</si>
  <si>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</si>
  <si>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</si>
  <si>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</si>
  <si>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</si>
  <si>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</si>
  <si>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</si>
  <si>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</si>
  <si>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</si>
  <si>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</si>
  <si>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</si>
  <si>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</si>
  <si>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</si>
  <si>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</si>
  <si>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</si>
  <si>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</si>
  <si>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</si>
  <si>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</si>
  <si>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</si>
  <si>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</si>
  <si>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</si>
  <si>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</si>
  <si>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</si>
  <si>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</si>
  <si>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</si>
  <si>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</si>
  <si>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</si>
  <si>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</si>
  <si>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</si>
  <si>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</si>
  <si>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</si>
  <si>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</si>
  <si>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</si>
  <si>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</si>
  <si>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</si>
  <si>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</si>
  <si>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</si>
  <si>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</si>
  <si>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</si>
  <si>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</si>
  <si>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</si>
  <si>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</si>
  <si>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</si>
  <si>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</si>
  <si>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</si>
  <si>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</si>
  <si>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</si>
  <si>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</si>
  <si>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</si>
  <si>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</si>
  <si>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</si>
  <si>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</si>
  <si>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</si>
  <si>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</si>
  <si>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</si>
  <si>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</si>
  <si>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</si>
  <si>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</si>
  <si>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</si>
  <si>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</si>
  <si>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</si>
  <si>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</si>
  <si>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</si>
  <si>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</si>
  <si>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</si>
  <si>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</si>
  <si>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</si>
  <si>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</si>
  <si>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</si>
  <si>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</si>
  <si>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</si>
  <si>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</si>
  <si>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</si>
  <si>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</si>
  <si>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</si>
  <si>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</si>
  <si>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</si>
  <si>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</si>
  <si>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</si>
  <si>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</si>
  <si>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</si>
  <si>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</si>
  <si>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</si>
  <si>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</si>
  <si>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</si>
  <si>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</si>
  <si>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</si>
  <si>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</si>
  <si>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</si>
  <si>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</si>
  <si>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</si>
  <si>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</si>
  <si>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</si>
  <si>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</si>
  <si>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</si>
  <si>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</si>
  <si>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</si>
  <si>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</si>
  <si>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</si>
  <si>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</si>
  <si>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</si>
  <si>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</si>
  <si>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</si>
  <si>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</si>
  <si>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</si>
  <si>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</si>
  <si>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</si>
  <si>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</si>
  <si>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</si>
  <si>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</si>
  <si>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</si>
  <si>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</si>
  <si>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</si>
  <si>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</si>
  <si>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</si>
  <si>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</si>
  <si>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</si>
  <si>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</si>
  <si>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</si>
  <si>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</si>
  <si>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</si>
  <si>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</si>
  <si>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</si>
  <si>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</si>
  <si>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</si>
  <si>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</si>
  <si>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</si>
  <si>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</si>
  <si>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</si>
  <si>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</si>
  <si>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</si>
  <si>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</si>
  <si>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</si>
  <si>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</si>
  <si>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</si>
  <si>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</si>
  <si>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</si>
  <si>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</si>
  <si>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</si>
  <si>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</si>
  <si>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</si>
  <si>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</si>
  <si>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</si>
  <si>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</si>
  <si>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</si>
  <si>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</si>
  <si>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</si>
  <si>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</si>
  <si>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</si>
  <si>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</si>
  <si>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</si>
  <si>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</si>
  <si>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</si>
  <si>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</si>
  <si>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</si>
  <si>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</si>
  <si>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</si>
  <si>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</si>
  <si>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</si>
  <si>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</si>
  <si>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</si>
  <si>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</si>
  <si>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</si>
  <si>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</si>
  <si>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</si>
  <si>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</si>
  <si>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</si>
  <si>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</si>
  <si>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</si>
  <si>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</si>
  <si>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</si>
  <si>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</si>
  <si>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</si>
  <si>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</si>
  <si>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</si>
  <si>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</si>
  <si>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</si>
  <si>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</si>
  <si>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</si>
  <si>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</si>
  <si>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</si>
  <si>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</si>
  <si>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</si>
  <si>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</si>
  <si>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</si>
  <si>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</si>
  <si>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</si>
  <si>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</si>
  <si>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</si>
  <si>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</si>
  <si>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</si>
  <si>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</si>
  <si>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</si>
  <si>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</si>
  <si>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</si>
  <si>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</si>
  <si>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</si>
  <si>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</si>
  <si>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</si>
  <si>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</si>
  <si>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</si>
  <si>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</si>
  <si>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</si>
  <si>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</si>
  <si>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</si>
  <si>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</si>
  <si>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</si>
  <si>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</si>
  <si>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</si>
  <si>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</si>
  <si>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</si>
  <si>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</si>
  <si>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</si>
  <si>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</si>
  <si>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</si>
  <si>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</si>
  <si>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</si>
  <si>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</si>
  <si>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</si>
  <si>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</si>
  <si>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</si>
  <si>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</si>
  <si>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</si>
  <si>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</si>
  <si>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</si>
  <si>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</si>
  <si>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</si>
  <si>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</si>
  <si>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</si>
  <si>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</si>
  <si>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</si>
  <si>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</si>
  <si>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</si>
  <si>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</si>
  <si>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</si>
  <si>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</si>
  <si>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</si>
  <si>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</si>
  <si>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</si>
  <si>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</si>
  <si>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</si>
  <si>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</si>
  <si>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</si>
  <si>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</si>
  <si>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</si>
  <si>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</si>
  <si>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</si>
  <si>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</si>
  <si>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</si>
  <si>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</si>
  <si>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</si>
  <si>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</si>
  <si>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</si>
  <si>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</si>
  <si>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</si>
  <si>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</si>
  <si>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</si>
  <si>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</si>
  <si>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</si>
  <si>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</si>
  <si>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</si>
  <si>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</si>
  <si>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</si>
  <si>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</si>
  <si>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</si>
  <si>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</si>
  <si>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</si>
  <si>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</si>
  <si>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</si>
  <si>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</si>
  <si>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</si>
  <si>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</si>
  <si>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</si>
  <si>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</si>
  <si>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</si>
  <si>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</si>
  <si>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</si>
  <si>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</si>
  <si>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</si>
  <si>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</si>
  <si>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</si>
  <si>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</si>
  <si>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</si>
  <si>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</si>
  <si>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</si>
  <si>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</si>
  <si>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</si>
  <si>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</si>
  <si>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</si>
  <si>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</si>
  <si>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</si>
  <si>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</si>
  <si>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</si>
  <si>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</si>
  <si>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</si>
  <si>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</si>
  <si>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</si>
  <si>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</si>
  <si>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</si>
  <si>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</si>
  <si>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</si>
  <si>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</si>
  <si>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</si>
  <si>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</si>
  <si>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</si>
  <si>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</si>
  <si>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</si>
  <si>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</si>
  <si>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</si>
  <si>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</si>
  <si>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</si>
  <si>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</si>
  <si>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</si>
  <si>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</si>
  <si>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</si>
  <si>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</si>
  <si>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</si>
  <si>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</si>
  <si>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</si>
  <si>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</si>
  <si>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</si>
  <si>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</si>
  <si>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</si>
  <si>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</si>
  <si>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</si>
  <si>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</si>
  <si>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</si>
  <si>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</si>
  <si>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</si>
  <si>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</si>
  <si>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</si>
  <si>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</si>
  <si>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</si>
  <si>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</si>
  <si>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</si>
  <si>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</si>
  <si>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</si>
  <si>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</si>
  <si>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</si>
  <si>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</si>
  <si>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</si>
  <si>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</si>
  <si>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</si>
  <si>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</si>
  <si>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</si>
  <si>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</si>
  <si>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</si>
  <si>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</si>
  <si>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</si>
  <si>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</si>
  <si>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</si>
  <si>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</si>
  <si>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</si>
  <si>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</si>
  <si>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</si>
  <si>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</si>
  <si>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</si>
  <si>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</si>
  <si>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</si>
  <si>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</si>
  <si>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</si>
  <si>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</si>
  <si>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</si>
  <si>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</si>
  <si>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</si>
  <si>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</si>
  <si>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</si>
  <si>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</si>
  <si>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</si>
  <si>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</si>
  <si>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</si>
  <si>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</si>
  <si>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</si>
  <si>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</si>
  <si>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</si>
  <si>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</si>
  <si>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</si>
  <si>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</si>
  <si>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</si>
  <si>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</si>
  <si>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</si>
  <si>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</si>
  <si>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</si>
  <si>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</si>
  <si>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</si>
  <si>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</si>
  <si>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</si>
  <si>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</si>
  <si>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</si>
  <si>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</si>
  <si>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</si>
  <si>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</si>
  <si>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</si>
  <si>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</si>
  <si>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</si>
  <si>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</si>
  <si>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</si>
  <si>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</si>
  <si>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</si>
  <si>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</si>
  <si>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</si>
  <si>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</si>
  <si>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</si>
  <si>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</si>
  <si>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</si>
  <si>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</si>
  <si>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</si>
  <si>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</si>
  <si>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</si>
  <si>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</si>
  <si>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</si>
  <si>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</si>
  <si>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</si>
  <si>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</si>
  <si>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</si>
  <si>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</si>
  <si>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</si>
  <si>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</si>
  <si>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</si>
  <si>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</si>
  <si>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</si>
  <si>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</si>
  <si>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</si>
  <si>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</si>
  <si>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</si>
  <si>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</si>
  <si>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</si>
  <si>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</si>
  <si>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</si>
  <si>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</si>
  <si>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</si>
  <si>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</si>
  <si>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</si>
  <si>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</si>
  <si>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</si>
  <si>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</si>
  <si>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</si>
  <si>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</si>
  <si>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</si>
  <si>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</si>
  <si>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</si>
  <si>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</si>
  <si>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</si>
  <si>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</si>
  <si>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</si>
  <si>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</si>
  <si>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</si>
  <si>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</si>
  <si>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</si>
  <si>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</si>
  <si>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</si>
  <si>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</si>
  <si>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</si>
  <si>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</si>
  <si>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</si>
  <si>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</si>
  <si>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</si>
  <si>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</si>
  <si>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</si>
  <si>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</si>
  <si>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</si>
  <si>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</si>
  <si>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</si>
  <si>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</si>
  <si>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</si>
  <si>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</si>
  <si>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</si>
  <si>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</si>
  <si>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</si>
  <si>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</si>
  <si>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</si>
  <si>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</si>
  <si>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</si>
  <si>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</si>
  <si>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</si>
  <si>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</si>
  <si>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</si>
  <si>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</si>
  <si>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</si>
  <si>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</si>
  <si>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</si>
  <si>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</si>
  <si>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</si>
  <si>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</si>
  <si>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</si>
  <si>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</si>
  <si>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</si>
  <si>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</si>
  <si>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</si>
  <si>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</si>
  <si>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</si>
  <si>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</si>
  <si>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</si>
  <si>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</si>
  <si>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</si>
  <si>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</si>
  <si>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</si>
  <si>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</si>
  <si>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</si>
  <si>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</si>
  <si>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</si>
  <si>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</si>
  <si>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</si>
  <si>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</si>
  <si>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</si>
  <si>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</si>
  <si>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</si>
  <si>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</si>
  <si>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</si>
  <si>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</si>
  <si>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</si>
  <si>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</si>
  <si>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</si>
  <si>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</si>
  <si>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</si>
  <si>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</si>
  <si>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</si>
  <si>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</si>
  <si>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</si>
  <si>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</si>
  <si>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</si>
  <si>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</si>
  <si>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</si>
  <si>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</si>
  <si>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</si>
  <si>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</si>
  <si>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</si>
  <si>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</si>
  <si>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</si>
  <si>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</si>
  <si>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</si>
  <si>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</si>
  <si>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</si>
  <si>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</si>
  <si>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</si>
  <si>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</si>
  <si>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</si>
  <si>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</si>
  <si>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</si>
  <si>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</si>
  <si>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</si>
  <si>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</si>
  <si>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</si>
  <si>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</si>
  <si>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</si>
  <si>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</si>
  <si>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</si>
  <si>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</si>
  <si>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</si>
  <si>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</si>
  <si>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</si>
  <si>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</si>
  <si>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</si>
  <si>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</si>
  <si>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</si>
  <si>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</si>
  <si>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</si>
  <si>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</si>
  <si>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</si>
  <si>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</si>
  <si>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</si>
  <si>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</si>
  <si>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</si>
  <si>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</si>
  <si>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</si>
  <si>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</si>
  <si>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</si>
  <si>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</si>
  <si>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</si>
  <si>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</si>
  <si>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</si>
  <si>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</si>
  <si>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</si>
  <si>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</si>
  <si>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</si>
  <si>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</si>
  <si>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</si>
  <si>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</si>
  <si>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</si>
  <si>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</si>
  <si>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</si>
  <si>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</si>
  <si>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</si>
  <si>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</si>
  <si>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</si>
  <si>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</si>
  <si>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</si>
  <si>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</si>
  <si>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</si>
  <si>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</si>
  <si>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</si>
  <si>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</si>
  <si>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</si>
  <si>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</si>
  <si>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</si>
  <si>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</si>
  <si>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</si>
  <si>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</si>
  <si>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</si>
  <si>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</si>
  <si>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</si>
  <si>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</si>
  <si>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</si>
  <si>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</si>
  <si>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</si>
  <si>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</si>
  <si>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</si>
  <si>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</si>
  <si>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</si>
  <si>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</si>
  <si>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</si>
  <si>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</si>
  <si>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</si>
  <si>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</si>
  <si>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</si>
  <si>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</si>
  <si>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</si>
  <si>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</si>
  <si>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</si>
  <si>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</si>
  <si>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</si>
  <si>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</si>
  <si>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</si>
  <si>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</si>
  <si>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</si>
  <si>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</si>
  <si>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</si>
  <si>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</si>
  <si>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</si>
  <si>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</si>
  <si>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</si>
  <si>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</si>
  <si>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</si>
  <si>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</si>
  <si>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</si>
  <si>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</si>
  <si>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</si>
  <si>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</si>
  <si>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</si>
  <si>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</si>
  <si>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</si>
  <si>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</si>
  <si>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</si>
  <si>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</si>
  <si>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</si>
  <si>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</si>
  <si>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</si>
  <si>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</si>
  <si>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</si>
  <si>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</si>
  <si>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</si>
  <si>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</si>
  <si>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</si>
  <si>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</si>
  <si>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</si>
  <si>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</si>
  <si>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</si>
  <si>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</si>
  <si>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</si>
  <si>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</si>
  <si>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</si>
  <si>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</si>
  <si>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</si>
  <si>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</si>
  <si>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</si>
  <si>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</si>
  <si>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</si>
  <si>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</si>
  <si>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</si>
  <si>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</si>
  <si>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</si>
  <si>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</si>
  <si>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</si>
  <si>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</si>
  <si>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</si>
  <si>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</si>
  <si>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</si>
  <si>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</si>
  <si>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</si>
  <si>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</si>
  <si>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</si>
  <si>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</si>
  <si>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</si>
  <si>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</si>
  <si>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</si>
  <si>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</si>
  <si>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</si>
  <si>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</si>
  <si>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</si>
  <si>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</si>
  <si>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</si>
  <si>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</si>
  <si>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</si>
  <si>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</si>
  <si>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</si>
  <si>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</si>
  <si>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</si>
  <si>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</si>
  <si>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</si>
  <si>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</si>
  <si>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</si>
  <si>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</si>
  <si>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</si>
  <si>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</si>
  <si>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</si>
  <si>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</si>
  <si>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</si>
  <si>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</si>
  <si>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</si>
  <si>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</si>
  <si>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</si>
  <si>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</si>
  <si>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</si>
  <si>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</si>
  <si>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</si>
  <si>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</si>
  <si>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</si>
  <si>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</si>
  <si>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</si>
  <si>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</si>
  <si>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</si>
  <si>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</si>
  <si>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</si>
  <si>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</si>
  <si>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</si>
  <si>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</si>
  <si>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</si>
  <si>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</si>
  <si>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</si>
  <si>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</si>
  <si>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</si>
  <si>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</si>
  <si>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</si>
  <si>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</si>
  <si>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</si>
  <si>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</si>
  <si>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</si>
  <si>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</si>
  <si>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</si>
  <si>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</si>
  <si>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</si>
  <si>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</si>
  <si>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</si>
  <si>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</si>
  <si>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</si>
  <si>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</si>
  <si>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</si>
  <si>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</si>
  <si>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</si>
  <si>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</si>
  <si>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</si>
  <si>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</si>
  <si>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</si>
  <si>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</si>
  <si>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</si>
  <si>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</si>
  <si>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</si>
  <si>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</si>
  <si>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</si>
  <si>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</si>
  <si>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</si>
  <si>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</si>
  <si>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</si>
  <si>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</si>
  <si>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</si>
  <si>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</si>
  <si>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</si>
  <si>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</si>
  <si>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</si>
  <si>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</si>
  <si>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</si>
  <si>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</si>
  <si>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</si>
  <si>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</si>
  <si>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</si>
  <si>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</si>
  <si>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</si>
  <si>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</si>
  <si>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</si>
  <si>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</si>
  <si>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</si>
  <si>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</si>
  <si>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</si>
  <si>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</si>
  <si>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</si>
  <si>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</si>
  <si>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</si>
  <si>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</si>
  <si>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</si>
  <si>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</si>
  <si>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</si>
  <si>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</si>
  <si>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</si>
  <si>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</si>
  <si>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</si>
  <si>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</si>
  <si>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</si>
  <si>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</si>
  <si>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</si>
  <si>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</si>
  <si>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</si>
  <si>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</si>
  <si>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</si>
  <si>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</si>
  <si>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</si>
  <si>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</si>
  <si>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</si>
  <si>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</si>
  <si>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</si>
  <si>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</si>
  <si>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</si>
  <si>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</si>
  <si>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</si>
  <si>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</si>
  <si>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</si>
  <si>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</si>
  <si>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</si>
  <si>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</si>
  <si>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</si>
  <si>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</si>
  <si>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</si>
  <si>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</si>
  <si>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</si>
  <si>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</si>
  <si>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</si>
  <si>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</si>
  <si>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</si>
  <si>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</si>
  <si>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</si>
  <si>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</si>
  <si>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</si>
  <si>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</si>
  <si>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</si>
  <si>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</si>
  <si>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</si>
  <si>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</si>
  <si>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</si>
  <si>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</si>
  <si>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</si>
  <si>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</si>
  <si>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</si>
  <si>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</si>
  <si>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</si>
  <si>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</si>
  <si>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</si>
  <si>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</si>
  <si>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</si>
  <si>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</si>
  <si>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</si>
  <si>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</si>
  <si>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</si>
  <si>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</si>
  <si>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</si>
  <si>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</si>
  <si>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</si>
  <si>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</si>
  <si>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</si>
  <si>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</si>
  <si>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</si>
  <si>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</si>
  <si>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</si>
  <si>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</si>
  <si>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</si>
  <si>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</si>
  <si>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</si>
  <si>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</si>
  <si>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</si>
  <si>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</si>
  <si>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</si>
  <si>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</si>
  <si>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</si>
  <si>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</si>
  <si>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</si>
  <si>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</si>
  <si>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</si>
  <si>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</si>
  <si>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</si>
  <si>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</si>
  <si>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</si>
  <si>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</si>
  <si>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</si>
  <si>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</si>
  <si>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</si>
  <si>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</si>
  <si>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</si>
  <si>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</si>
  <si>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</si>
  <si>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</si>
  <si>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</si>
  <si>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</si>
  <si>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</si>
  <si>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</si>
  <si>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</si>
  <si>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</si>
  <si>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</si>
  <si>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</si>
  <si>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</si>
  <si>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</si>
  <si>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</si>
  <si>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</si>
  <si>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</si>
  <si>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</si>
  <si>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</si>
  <si>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</si>
  <si>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</si>
  <si>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</si>
  <si>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</si>
  <si>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</si>
  <si>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</si>
  <si>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</si>
  <si>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</si>
  <si>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</si>
  <si>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</si>
  <si>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</si>
  <si>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</si>
  <si>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</si>
  <si>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</si>
  <si>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</si>
  <si>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</si>
  <si>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</si>
  <si>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</si>
  <si>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</si>
  <si>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</si>
  <si>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</si>
  <si>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</si>
  <si>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</si>
  <si>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</si>
  <si>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</si>
  <si>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</si>
  <si>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</si>
  <si>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</si>
  <si>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</si>
  <si>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</si>
  <si>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</si>
  <si>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</si>
  <si>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</si>
  <si>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</si>
  <si>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</si>
  <si>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</si>
  <si>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</si>
  <si>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</si>
  <si>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</si>
  <si>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</si>
  <si>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</si>
  <si>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</si>
  <si>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</si>
  <si>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</si>
  <si>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</si>
  <si>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</si>
  <si>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</si>
  <si>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</si>
  <si>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</si>
  <si>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</si>
  <si>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</si>
  <si>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</si>
  <si>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</si>
  <si>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</si>
  <si>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</si>
  <si>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</si>
  <si>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</si>
  <si>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</si>
  <si>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</si>
  <si>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</si>
  <si>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</si>
  <si>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</si>
  <si>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</si>
  <si>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</si>
  <si>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</si>
  <si>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</si>
  <si>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</si>
  <si>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</si>
  <si>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</si>
  <si>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</si>
  <si>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</si>
  <si>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</si>
  <si>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</si>
  <si>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</si>
  <si>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</si>
  <si>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</si>
  <si>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</si>
  <si>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</si>
  <si>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</si>
  <si>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</si>
  <si>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</si>
  <si>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</si>
  <si>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</si>
  <si>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</si>
  <si>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</si>
  <si>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</si>
  <si>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</si>
  <si>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</si>
  <si>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</si>
  <si>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</si>
  <si>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</si>
  <si>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</si>
  <si>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</si>
  <si>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</si>
  <si>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</si>
  <si>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</si>
  <si>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</si>
  <si>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</si>
  <si>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</si>
  <si>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</si>
  <si>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</si>
  <si>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</si>
  <si>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</si>
  <si>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</si>
  <si>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</si>
  <si>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</si>
  <si>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</si>
  <si>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</si>
  <si>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</si>
  <si>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</si>
  <si>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</si>
  <si>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</si>
  <si>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</si>
  <si>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</si>
  <si>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</si>
  <si>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</si>
  <si>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</si>
  <si>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</si>
  <si>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</si>
  <si>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</si>
  <si>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</si>
  <si>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</si>
  <si>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</si>
  <si>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</si>
  <si>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</si>
  <si>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</si>
  <si>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</si>
  <si>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</si>
  <si>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</si>
  <si>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</si>
  <si>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</si>
  <si>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</si>
  <si>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</si>
  <si>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</si>
  <si>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</si>
  <si>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</si>
  <si>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</si>
  <si>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</si>
  <si>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</si>
  <si>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</si>
  <si>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</si>
  <si>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</si>
  <si>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</si>
  <si>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</si>
  <si>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</si>
  <si>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</si>
  <si>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</si>
  <si>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</si>
  <si>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</si>
  <si>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</si>
  <si>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</si>
  <si>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</si>
  <si>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</si>
  <si>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</si>
  <si>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</si>
  <si>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</si>
  <si>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</si>
  <si>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</si>
  <si>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</si>
  <si>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</si>
  <si>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</si>
  <si>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</si>
  <si>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</si>
  <si>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</si>
  <si>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</si>
  <si>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</si>
  <si>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</si>
  <si>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</si>
  <si>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</si>
  <si>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</si>
  <si>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</si>
  <si>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</si>
  <si>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</si>
  <si>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</si>
  <si>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</si>
  <si>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</si>
  <si>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</si>
  <si>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</si>
  <si>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</si>
  <si>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</si>
  <si>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</si>
  <si>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</si>
  <si>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</si>
  <si>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</si>
  <si>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</si>
  <si>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</si>
  <si>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</si>
  <si>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</si>
  <si>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</si>
  <si>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</si>
  <si>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</si>
  <si>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</si>
  <si>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</si>
  <si>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</si>
  <si>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</si>
  <si>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</si>
  <si>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</si>
  <si>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</si>
  <si>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</si>
  <si>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</si>
  <si>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</si>
  <si>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</si>
  <si>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</si>
  <si>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</si>
  <si>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</si>
  <si>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</si>
  <si>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</si>
  <si>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</si>
  <si>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</si>
  <si>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</si>
  <si>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</si>
  <si>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</si>
  <si>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</si>
  <si>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</si>
  <si>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</si>
  <si>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</si>
  <si>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</si>
  <si>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</si>
  <si>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</si>
  <si>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</si>
  <si>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</si>
  <si>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</si>
  <si>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</si>
  <si>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</si>
  <si>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</si>
  <si>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</si>
  <si>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</si>
  <si>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</si>
  <si>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</si>
  <si>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</si>
  <si>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</si>
  <si>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</si>
  <si>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</si>
  <si>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</si>
  <si>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</si>
  <si>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</si>
  <si>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</si>
  <si>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</si>
  <si>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</si>
  <si>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</si>
  <si>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</si>
  <si>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</si>
  <si>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</si>
  <si>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</si>
  <si>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</si>
  <si>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</si>
  <si>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</si>
  <si>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</si>
  <si>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</si>
  <si>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</si>
  <si>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</si>
  <si>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</si>
  <si>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</si>
  <si>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</si>
  <si>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</si>
  <si>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</si>
  <si>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</si>
  <si>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</si>
  <si>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</si>
  <si>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</si>
  <si>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</si>
  <si>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</si>
  <si>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</si>
  <si>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</si>
  <si>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</si>
  <si>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</si>
  <si>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</si>
  <si>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</si>
  <si>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</si>
  <si>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</si>
  <si>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</si>
  <si>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</si>
  <si>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</si>
  <si>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</si>
  <si>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</si>
  <si>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</si>
  <si>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</si>
  <si>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</si>
  <si>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</si>
  <si>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</si>
  <si>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</si>
  <si>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</si>
  <si>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</si>
  <si>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</si>
  <si>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</si>
  <si>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</si>
  <si>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</si>
  <si>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</si>
  <si>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</si>
  <si>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</si>
  <si>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</si>
  <si>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</si>
  <si>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</si>
  <si>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</si>
  <si>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</si>
  <si>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</si>
  <si>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</si>
  <si>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</si>
  <si>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</si>
  <si>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</si>
  <si>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</si>
  <si>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</si>
  <si>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</si>
  <si>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</si>
  <si>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</si>
  <si>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</si>
  <si>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</si>
  <si>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</si>
  <si>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</si>
  <si>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</si>
  <si>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</si>
  <si>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</si>
  <si>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</si>
  <si>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</si>
  <si>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</si>
  <si>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</si>
  <si>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</si>
  <si>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</si>
  <si>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</si>
  <si>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</si>
  <si>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</si>
  <si>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</si>
  <si>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</si>
  <si>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</si>
  <si>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</si>
  <si>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</si>
  <si>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</si>
  <si>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</si>
  <si>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</si>
  <si>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</si>
  <si>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</si>
  <si>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</si>
  <si>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</si>
  <si>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</si>
  <si>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</si>
  <si>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</si>
  <si>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</si>
  <si>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</si>
  <si>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</si>
  <si>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</si>
  <si>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</si>
  <si>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</si>
  <si>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</si>
  <si>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</si>
  <si>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</si>
  <si>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</si>
  <si>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</si>
  <si>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</si>
  <si>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</si>
  <si>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</si>
  <si>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</si>
  <si>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</si>
  <si>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</si>
  <si>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</si>
  <si>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</si>
  <si>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</si>
  <si>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</si>
  <si>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</si>
  <si>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</si>
  <si>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</si>
  <si>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</si>
  <si>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</si>
  <si>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</si>
  <si>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</si>
  <si>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</si>
  <si>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</si>
  <si>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</si>
  <si>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</si>
  <si>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</si>
  <si>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</si>
  <si>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</si>
  <si>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</si>
  <si>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</si>
  <si>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</si>
  <si>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</si>
  <si>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</si>
  <si>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</si>
  <si>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</si>
  <si>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</si>
  <si>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</si>
  <si>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</si>
  <si>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</si>
  <si>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</si>
  <si>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</si>
  <si>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</si>
  <si>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</si>
  <si>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</si>
  <si>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</si>
  <si>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</si>
  <si>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</si>
  <si>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</si>
  <si>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</si>
  <si>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</si>
  <si>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</si>
  <si>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</si>
  <si>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</si>
  <si>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</si>
  <si>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</si>
  <si>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</si>
  <si>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</si>
  <si>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</si>
  <si>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</si>
  <si>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</si>
  <si>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</si>
  <si>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</si>
  <si>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</si>
  <si>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</si>
  <si>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</si>
  <si>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</si>
  <si>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</si>
  <si>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</si>
  <si>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</si>
  <si>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</si>
  <si>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</si>
  <si>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</si>
  <si>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</si>
  <si>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</si>
  <si>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</si>
  <si>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</si>
  <si>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</si>
  <si>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</si>
  <si>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</si>
  <si>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</si>
  <si>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</si>
  <si>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</si>
  <si>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</si>
  <si>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</si>
  <si>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</si>
  <si>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</si>
  <si>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</si>
  <si>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</si>
  <si>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</si>
  <si>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</si>
  <si>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</si>
  <si>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</si>
  <si>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</si>
  <si>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</si>
  <si>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</si>
  <si>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</si>
  <si>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</si>
  <si>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</si>
  <si>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</si>
  <si>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</si>
  <si>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</si>
  <si>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</si>
  <si>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</si>
  <si>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</si>
  <si>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</si>
  <si>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</si>
  <si>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</si>
  <si>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</si>
  <si>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</si>
  <si>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</si>
  <si>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</si>
  <si>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</si>
  <si>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</si>
  <si>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</si>
  <si>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</si>
  <si>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</si>
  <si>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</si>
  <si>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</si>
  <si>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</si>
  <si>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</si>
  <si>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</si>
  <si>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</si>
  <si>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</si>
  <si>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</si>
  <si>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</si>
  <si>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</si>
  <si>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</si>
  <si>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</si>
  <si>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</si>
  <si>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</si>
  <si>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</si>
  <si>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</si>
  <si>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</si>
  <si>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</si>
  <si>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</si>
  <si>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</si>
  <si>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</si>
  <si>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</si>
  <si>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</si>
  <si>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</si>
  <si>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</si>
  <si>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</si>
  <si>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</si>
  <si>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</si>
  <si>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</si>
  <si>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</si>
  <si>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</si>
  <si>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</si>
  <si>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</si>
  <si>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</si>
  <si>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</si>
  <si>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</si>
  <si>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</si>
  <si>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</si>
  <si>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</si>
  <si>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</si>
  <si>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</si>
  <si>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</si>
  <si>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</si>
  <si>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</si>
  <si>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</si>
  <si>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</si>
  <si>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</si>
  <si>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</si>
  <si>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</si>
  <si>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</si>
  <si>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</si>
  <si>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</si>
  <si>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</si>
  <si>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</si>
  <si>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</si>
  <si>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</si>
  <si>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</si>
  <si>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</si>
  <si>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</si>
  <si>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</si>
  <si>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</si>
  <si>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</si>
  <si>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</si>
  <si>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</si>
  <si>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</si>
  <si>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</si>
  <si>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</si>
  <si>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</si>
  <si>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</si>
  <si>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</si>
  <si>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</si>
  <si>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</si>
  <si>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</si>
  <si>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</si>
  <si>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</si>
  <si>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</si>
  <si>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</si>
  <si>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</si>
  <si>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</si>
  <si>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</si>
  <si>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</si>
  <si>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</si>
  <si>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</si>
  <si>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</si>
  <si>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</si>
  <si>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</si>
  <si>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</si>
  <si>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</si>
  <si>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</si>
  <si>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</si>
  <si>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</si>
  <si>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</si>
  <si>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</si>
  <si>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</si>
  <si>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</si>
  <si>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</si>
  <si>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</si>
  <si>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</si>
  <si>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</si>
  <si>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</si>
  <si>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</si>
  <si>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</si>
  <si>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</si>
  <si>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</si>
  <si>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</si>
  <si>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</si>
  <si>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</si>
  <si>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</si>
  <si>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</si>
  <si>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</si>
  <si>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</si>
  <si>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</si>
  <si>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</si>
  <si>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</si>
  <si>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</si>
  <si>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</si>
  <si>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</si>
  <si>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</si>
  <si>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</si>
  <si>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</si>
  <si>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</si>
  <si>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</si>
  <si>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</si>
  <si>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</si>
  <si>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</si>
  <si>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</si>
  <si>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</si>
  <si>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</si>
  <si>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</si>
  <si>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</si>
  <si>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</si>
  <si>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</si>
  <si>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</si>
  <si>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</si>
  <si>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</si>
  <si>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</si>
  <si>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</si>
  <si>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</si>
  <si>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</si>
  <si>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</si>
  <si>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</si>
  <si>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</si>
  <si>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</si>
  <si>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</si>
  <si>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</si>
  <si>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</si>
  <si>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</si>
  <si>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</si>
  <si>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</si>
  <si>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</si>
  <si>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</si>
  <si>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</si>
  <si>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</si>
  <si>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</si>
  <si>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</si>
  <si>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</si>
  <si>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</si>
  <si>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</si>
  <si>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</si>
  <si>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</si>
  <si>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</si>
  <si>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</si>
  <si>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</si>
  <si>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</si>
  <si>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</si>
  <si>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</si>
  <si>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</si>
  <si>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</si>
  <si>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</si>
  <si>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</si>
  <si>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</si>
  <si>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</si>
  <si>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</si>
  <si>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</si>
  <si>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</si>
  <si>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</si>
  <si>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</si>
  <si>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</si>
  <si>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</si>
  <si>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</si>
  <si>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</si>
  <si>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</si>
  <si>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</si>
  <si>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</si>
  <si>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</si>
  <si>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</si>
  <si>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</si>
  <si>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</si>
  <si>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</si>
  <si>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</si>
  <si>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</si>
  <si>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</si>
  <si>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</si>
  <si>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</si>
  <si>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</si>
  <si>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</si>
  <si>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</si>
  <si>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</si>
  <si>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</si>
  <si>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</si>
  <si>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</si>
  <si>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</si>
  <si>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</si>
  <si>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</si>
  <si>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</si>
  <si>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</si>
  <si>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</si>
  <si>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</si>
  <si>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</si>
  <si>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</si>
  <si>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</si>
  <si>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</si>
  <si>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</si>
  <si>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</si>
  <si>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</si>
  <si>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</si>
  <si>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</si>
  <si>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</si>
  <si>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</si>
  <si>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</si>
  <si>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</si>
  <si>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</si>
  <si>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</si>
  <si>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</si>
  <si>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</si>
  <si>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</si>
  <si>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</si>
  <si>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</si>
  <si>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</si>
  <si>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</si>
  <si>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</si>
  <si>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</si>
  <si>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</si>
  <si>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</si>
  <si>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</si>
  <si>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</si>
  <si>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</si>
  <si>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</si>
  <si>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</si>
  <si>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</si>
  <si>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</si>
  <si>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</si>
  <si>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</si>
  <si>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</si>
  <si>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</si>
  <si>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</si>
  <si>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</si>
  <si>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</si>
  <si>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</si>
  <si>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</si>
  <si>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</si>
  <si>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</si>
  <si>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</si>
  <si>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</si>
  <si>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</si>
  <si>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</si>
  <si>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</si>
  <si>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</si>
  <si>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</si>
  <si>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</si>
  <si>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</si>
  <si>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</si>
  <si>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</si>
  <si>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</si>
  <si>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</si>
  <si>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</si>
  <si>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</si>
  <si>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</si>
  <si>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</si>
  <si>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</si>
  <si>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</si>
  <si>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</si>
  <si>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</si>
  <si>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</si>
  <si>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</si>
  <si>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</si>
  <si>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</si>
  <si>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</si>
  <si>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</si>
  <si>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</si>
  <si>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</si>
  <si>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</si>
  <si>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</si>
  <si>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</si>
  <si>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</si>
  <si>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</si>
  <si>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</si>
  <si>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</si>
  <si>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</si>
  <si>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</si>
  <si>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</si>
  <si>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</si>
  <si>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</si>
  <si>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</si>
  <si>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</si>
  <si>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</si>
  <si>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</si>
  <si>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</si>
  <si>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</si>
  <si>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</si>
  <si>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</si>
  <si>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</si>
  <si>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</si>
  <si>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</si>
  <si>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</si>
  <si>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</si>
  <si>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</si>
  <si>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</si>
  <si>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</si>
  <si>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</si>
  <si>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</si>
  <si>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</si>
  <si>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</si>
  <si>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</si>
  <si>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</si>
  <si>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</si>
  <si>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</si>
  <si>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</si>
  <si>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</si>
  <si>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</si>
  <si>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</si>
  <si>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</si>
  <si>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</si>
  <si>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</si>
  <si>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</si>
  <si>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</si>
  <si>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</si>
  <si>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</si>
  <si>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</si>
  <si>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</si>
  <si>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</si>
  <si>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</si>
  <si>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</si>
  <si>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</si>
  <si>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</si>
  <si>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</si>
  <si>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</si>
  <si>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</si>
  <si>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</si>
  <si>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</si>
  <si>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</si>
  <si>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</si>
  <si>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</si>
  <si>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</si>
  <si>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</si>
  <si>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</si>
  <si>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</si>
  <si>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</si>
  <si>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</si>
  <si>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</si>
  <si>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</si>
  <si>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</si>
  <si>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</si>
  <si>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</si>
  <si>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</si>
  <si>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</si>
  <si>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</si>
  <si>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</si>
  <si>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</si>
  <si>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</si>
  <si>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</si>
  <si>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</si>
  <si>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</si>
  <si>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</si>
  <si>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</si>
  <si>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</si>
  <si>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</si>
  <si>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</si>
  <si>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</si>
  <si>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</si>
  <si>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</si>
  <si>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</si>
  <si>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</si>
  <si>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</si>
  <si>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</si>
  <si>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</si>
  <si>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</si>
  <si>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</si>
  <si>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</si>
  <si>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</si>
  <si>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</si>
  <si>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</si>
  <si>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</si>
  <si>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</si>
  <si>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</si>
  <si>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</si>
  <si>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</si>
  <si>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</si>
  <si>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</si>
  <si>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</si>
  <si>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</si>
  <si>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</si>
  <si>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</si>
  <si>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</si>
  <si>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</si>
  <si>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</si>
  <si>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</si>
  <si>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</si>
  <si>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</si>
  <si>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</si>
  <si>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</si>
  <si>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</si>
  <si>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</si>
  <si>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</si>
  <si>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</si>
  <si>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</si>
  <si>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</si>
  <si>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</si>
  <si>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</si>
  <si>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</si>
  <si>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</si>
  <si>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</si>
  <si>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</si>
  <si>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</si>
  <si>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</si>
  <si>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</si>
  <si>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</si>
  <si>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</si>
  <si>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</si>
  <si>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</si>
  <si>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</si>
  <si>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</si>
  <si>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</si>
  <si>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</si>
  <si>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</si>
  <si>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</si>
  <si>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</si>
  <si>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</si>
  <si>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</si>
  <si>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</si>
  <si>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</si>
  <si>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</si>
  <si>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</si>
  <si>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</si>
  <si>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</si>
  <si>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</si>
  <si>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</si>
  <si>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</si>
  <si>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</si>
  <si>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</si>
  <si>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</si>
  <si>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</si>
  <si>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</si>
  <si>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</si>
  <si>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</si>
  <si>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</si>
  <si>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</si>
  <si>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</si>
  <si>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</si>
  <si>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</si>
  <si>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</si>
  <si>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</si>
  <si>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</si>
  <si>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</si>
  <si>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</si>
  <si>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</si>
  <si>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</si>
  <si>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</si>
  <si>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</si>
  <si>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</si>
  <si>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</si>
  <si>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</si>
  <si>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</si>
  <si>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</si>
  <si>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</si>
  <si>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</si>
  <si>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</si>
  <si>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</si>
  <si>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</si>
  <si>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</si>
  <si>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</si>
  <si>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</si>
  <si>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</si>
  <si>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</si>
  <si>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</si>
  <si>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</si>
  <si>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</si>
  <si>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</si>
  <si>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</si>
  <si>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</si>
  <si>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</si>
  <si>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</si>
  <si>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</si>
  <si>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</si>
  <si>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</si>
  <si>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</si>
  <si>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</si>
  <si>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</si>
  <si>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</si>
  <si>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</si>
  <si>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</si>
  <si>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</si>
  <si>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</si>
  <si>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</si>
  <si>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</si>
  <si>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</si>
  <si>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</si>
  <si>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</si>
  <si>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</si>
  <si>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</si>
  <si>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</si>
  <si>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</si>
  <si>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</si>
  <si>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</si>
  <si>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</si>
  <si>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</si>
  <si>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</si>
  <si>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</si>
  <si>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</si>
  <si>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</si>
  <si>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</si>
  <si>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</si>
  <si>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</si>
  <si>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</si>
  <si>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</si>
  <si>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</si>
  <si>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</si>
  <si>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</si>
  <si>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</si>
  <si>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</si>
  <si>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</si>
  <si>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</si>
  <si>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</si>
  <si>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</si>
  <si>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</si>
  <si>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</si>
  <si>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</si>
  <si>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</si>
  <si>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</si>
  <si>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</si>
  <si>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</si>
  <si>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</si>
  <si>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</si>
  <si>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</si>
  <si>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</si>
  <si>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</si>
  <si>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</si>
  <si>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</si>
  <si>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</si>
  <si>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</si>
  <si>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</si>
  <si>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</si>
  <si>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</si>
  <si>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</si>
  <si>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</si>
  <si>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</si>
  <si>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</si>
  <si>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</si>
  <si>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</si>
  <si>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</si>
  <si>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</si>
  <si>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</si>
  <si>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</si>
  <si>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</si>
  <si>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</si>
  <si>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</si>
  <si>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</si>
  <si>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</si>
  <si>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</si>
  <si>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</si>
  <si>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</si>
  <si>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</si>
  <si>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</si>
  <si>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</si>
  <si>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</si>
  <si>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</si>
  <si>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</si>
  <si>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</si>
  <si>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</si>
  <si>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</si>
  <si>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</si>
  <si>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</si>
  <si>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</si>
  <si>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</si>
  <si>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</si>
  <si>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</si>
  <si>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</si>
  <si>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</si>
  <si>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</si>
  <si>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</si>
  <si>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</si>
  <si>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</si>
  <si>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</si>
  <si>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</si>
  <si>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</si>
  <si>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</si>
  <si>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</si>
  <si>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</si>
  <si>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</si>
  <si>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</si>
  <si>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</si>
  <si>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</si>
  <si>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</si>
  <si>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</si>
  <si>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</si>
  <si>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</si>
  <si>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</si>
  <si>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</si>
  <si>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</si>
  <si>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</si>
  <si>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</si>
  <si>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</si>
  <si>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</si>
  <si>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</si>
  <si>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</si>
  <si>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</si>
  <si>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</si>
  <si>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</si>
  <si>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</si>
  <si>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</si>
  <si>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</si>
  <si>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</si>
  <si>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</si>
  <si>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</si>
  <si>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</si>
  <si>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</si>
  <si>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</si>
  <si>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</si>
  <si>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</si>
  <si>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</si>
  <si>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</si>
  <si>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</si>
  <si>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</si>
  <si>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</si>
  <si>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</si>
  <si>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</si>
  <si>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</si>
  <si>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</si>
  <si>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</si>
  <si>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</si>
  <si>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</si>
  <si>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</si>
  <si>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</si>
  <si>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</si>
  <si>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</si>
  <si>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</si>
  <si>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</si>
  <si>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</si>
  <si>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</si>
  <si>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</si>
  <si>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</si>
  <si>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</si>
  <si>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</si>
  <si>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</si>
  <si>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</si>
  <si>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</si>
  <si>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</si>
  <si>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</si>
  <si>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</si>
  <si>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</si>
  <si>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</si>
  <si>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</si>
  <si>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</si>
  <si>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</si>
  <si>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</si>
  <si>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</si>
  <si>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</si>
  <si>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</si>
  <si>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</si>
  <si>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</si>
  <si>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</si>
  <si>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</si>
  <si>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</si>
  <si>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</si>
  <si>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</si>
  <si>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</si>
  <si>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</si>
  <si>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</si>
  <si>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</si>
  <si>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</si>
  <si>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</si>
  <si>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</si>
  <si>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</si>
  <si>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</si>
  <si>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</si>
  <si>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</si>
  <si>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</si>
  <si>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</si>
  <si>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</si>
  <si>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</si>
  <si>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</si>
  <si>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</si>
  <si>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</si>
  <si>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</si>
  <si>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</si>
  <si>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</si>
  <si>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</si>
  <si>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</si>
  <si>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</si>
  <si>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</si>
  <si>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</si>
  <si>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</si>
  <si>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</si>
  <si>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</si>
  <si>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</si>
  <si>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</si>
  <si>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</si>
  <si>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</si>
  <si>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</si>
  <si>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</si>
  <si>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</si>
  <si>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</si>
  <si>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</si>
  <si>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</si>
  <si>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</si>
  <si>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</si>
  <si>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</si>
  <si>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</si>
  <si>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</si>
  <si>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</si>
  <si>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</si>
  <si>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</si>
  <si>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</si>
  <si>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</si>
  <si>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</si>
  <si>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</si>
  <si>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</si>
  <si>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</si>
  <si>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</si>
  <si>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</si>
  <si>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</si>
  <si>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</si>
  <si>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</si>
  <si>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</si>
  <si>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</si>
  <si>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</si>
  <si>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</si>
  <si>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</si>
  <si>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</si>
  <si>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</si>
  <si>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</si>
  <si>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</si>
  <si>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</si>
  <si>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</si>
  <si>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</si>
  <si>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</si>
  <si>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</si>
  <si>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</si>
  <si>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</si>
  <si>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</si>
  <si>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</si>
  <si>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</si>
  <si>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</si>
  <si>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</si>
  <si>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</si>
  <si>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</si>
  <si>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</si>
  <si>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</si>
  <si>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</si>
  <si>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</si>
  <si>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</si>
  <si>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</si>
  <si>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</si>
  <si>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</si>
  <si>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</si>
  <si>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</si>
  <si>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</si>
  <si>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</si>
  <si>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</si>
  <si>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</si>
  <si>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</si>
  <si>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</si>
  <si>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</si>
  <si>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</si>
  <si>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</si>
  <si>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</si>
  <si>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</si>
  <si>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</si>
  <si>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</si>
  <si>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</si>
  <si>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</si>
  <si>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</si>
  <si>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</si>
  <si>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</si>
  <si>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</si>
  <si>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</si>
  <si>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</si>
  <si>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</si>
  <si>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</si>
  <si>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</si>
  <si>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</si>
  <si>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</si>
  <si>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</si>
  <si>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</si>
  <si>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</si>
  <si>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</si>
  <si>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</si>
  <si>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</si>
  <si>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</si>
  <si>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</si>
  <si>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</si>
  <si>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</si>
  <si>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</si>
  <si>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</si>
  <si>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</si>
  <si>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</si>
  <si>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</si>
  <si>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</si>
  <si>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</si>
  <si>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</si>
  <si>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</si>
  <si>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</si>
  <si>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</si>
  <si>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</si>
  <si>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</si>
  <si>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</si>
  <si>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</si>
  <si>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</si>
  <si>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</si>
  <si>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</si>
  <si>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</si>
  <si>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</si>
  <si>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</si>
  <si>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</si>
  <si>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</si>
  <si>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</si>
  <si>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</si>
  <si>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</si>
  <si>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</si>
  <si>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</si>
  <si>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</si>
  <si>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</si>
  <si>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</si>
  <si>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</si>
  <si>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</si>
  <si>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</si>
  <si>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</si>
  <si>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</si>
  <si>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</si>
  <si>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</si>
  <si>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</si>
  <si>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</si>
  <si>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</si>
  <si>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</si>
  <si>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</si>
  <si>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</si>
  <si>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</si>
  <si>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</si>
  <si>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</si>
  <si>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</si>
  <si>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</si>
  <si>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</si>
  <si>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</si>
  <si>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</si>
  <si>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</si>
  <si>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</si>
  <si>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</si>
  <si>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</si>
  <si>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</si>
  <si>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</si>
  <si>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</si>
  <si>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</si>
  <si>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</si>
  <si>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</si>
  <si>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</si>
  <si>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</si>
  <si>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</si>
  <si>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</si>
  <si>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</si>
  <si>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</si>
  <si>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</si>
  <si>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</si>
  <si>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</si>
  <si>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</si>
  <si>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</si>
  <si>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</si>
  <si>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</si>
  <si>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</si>
  <si>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</si>
  <si>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</si>
  <si>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</si>
  <si>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</si>
  <si>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</si>
  <si>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</si>
  <si>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</si>
  <si>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</si>
  <si>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</si>
  <si>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</si>
  <si>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</si>
  <si>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</si>
  <si>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</si>
  <si>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</si>
  <si>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</si>
  <si>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</si>
  <si>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</si>
  <si>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</si>
  <si>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</si>
  <si>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</si>
  <si>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</si>
  <si>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</si>
  <si>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</si>
  <si>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</si>
  <si>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</si>
  <si>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</si>
  <si>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</si>
  <si>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</si>
  <si>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</si>
  <si>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</si>
  <si>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</si>
  <si>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</si>
  <si>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</si>
  <si>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</si>
  <si>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</si>
  <si>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</si>
  <si>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</si>
  <si>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</si>
  <si>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</si>
  <si>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</si>
  <si>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</si>
  <si>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</si>
  <si>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</si>
  <si>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</si>
  <si>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</si>
  <si>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</si>
  <si>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</si>
  <si>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</si>
  <si>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</si>
  <si>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</si>
  <si>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</si>
  <si>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</si>
  <si>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</si>
  <si>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</si>
  <si>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</si>
  <si>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</si>
  <si>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</si>
  <si>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</si>
  <si>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</si>
  <si>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</si>
  <si>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</si>
  <si>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</si>
  <si>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</si>
  <si>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</si>
  <si>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</si>
  <si>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</si>
  <si>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</si>
  <si>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</si>
  <si>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</si>
  <si>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</si>
  <si>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</si>
  <si>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</si>
  <si>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</si>
  <si>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</si>
  <si>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</si>
  <si>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</si>
  <si>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</si>
  <si>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</si>
  <si>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</si>
  <si>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</si>
  <si>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</si>
  <si>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</si>
  <si>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</si>
  <si>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</si>
  <si>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</si>
  <si>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</si>
  <si>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</si>
  <si>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</si>
  <si>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</si>
  <si>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</si>
  <si>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</si>
  <si>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</si>
  <si>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</si>
  <si>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</si>
  <si>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</si>
  <si>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</si>
  <si>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</si>
  <si>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</si>
  <si>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</si>
  <si>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</si>
  <si>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</si>
  <si>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</si>
  <si>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</si>
  <si>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</si>
  <si>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</si>
  <si>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</si>
  <si>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</si>
  <si>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</si>
  <si>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</si>
  <si>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</si>
  <si>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</si>
  <si>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</si>
  <si>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</si>
  <si>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</si>
  <si>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</si>
  <si>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</si>
  <si>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</si>
  <si>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</si>
  <si>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</si>
  <si>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</si>
  <si>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</si>
  <si>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</si>
  <si>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</si>
  <si>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</si>
  <si>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</si>
  <si>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</si>
  <si>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</si>
  <si>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</si>
  <si>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</si>
  <si>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</si>
  <si>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</si>
  <si>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</si>
  <si>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</si>
  <si>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</si>
  <si>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</si>
  <si>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</si>
  <si>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</si>
  <si>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</si>
  <si>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</si>
  <si>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</si>
  <si>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</si>
  <si>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</si>
  <si>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</si>
  <si>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</si>
  <si>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</si>
  <si>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</si>
  <si>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</si>
  <si>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</si>
  <si>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</si>
  <si>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</si>
  <si>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</si>
  <si>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</si>
  <si>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</si>
  <si>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</si>
  <si>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</si>
  <si>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</si>
  <si>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</si>
  <si>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</si>
  <si>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</si>
  <si>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</si>
  <si>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</si>
  <si>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</si>
  <si>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</si>
  <si>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</si>
  <si>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</si>
  <si>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</si>
  <si>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</si>
  <si>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</si>
  <si>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</si>
  <si>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</si>
  <si>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</si>
  <si>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</si>
  <si>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</si>
  <si>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</si>
  <si>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</si>
  <si>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</si>
  <si>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</si>
  <si>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</si>
  <si>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</si>
  <si>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</si>
  <si>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</si>
  <si>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</si>
  <si>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</si>
  <si>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</si>
  <si>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</si>
  <si>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</si>
  <si>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</si>
  <si>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</si>
  <si>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</si>
  <si>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</si>
  <si>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</si>
  <si>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</si>
  <si>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</si>
  <si>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</si>
  <si>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</si>
  <si>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</si>
  <si>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</si>
  <si>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</si>
  <si>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</si>
  <si>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</si>
  <si>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</si>
  <si>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</si>
  <si>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</si>
  <si>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</si>
  <si>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</si>
  <si>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</si>
  <si>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</si>
  <si>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</si>
  <si>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</si>
  <si>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</si>
  <si>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</si>
  <si>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</si>
  <si>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</si>
  <si>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</si>
  <si>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</si>
  <si>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</si>
  <si>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</si>
  <si>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</si>
  <si>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</si>
  <si>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</si>
  <si>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</si>
  <si>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</si>
  <si>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</si>
  <si>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</si>
  <si>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</si>
  <si>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</si>
  <si>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</si>
  <si>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</si>
  <si>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</si>
  <si>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</si>
  <si>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</si>
  <si>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</si>
  <si>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</si>
  <si>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</si>
  <si>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</si>
  <si>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</si>
  <si>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</si>
  <si>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</si>
  <si>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</si>
  <si>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</si>
  <si>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</si>
  <si>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</si>
  <si>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</si>
  <si>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</si>
  <si>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</si>
  <si>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</si>
  <si>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</si>
  <si>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</si>
  <si>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</si>
  <si>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</si>
  <si>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</si>
  <si>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</si>
  <si>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</si>
  <si>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</si>
  <si>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</si>
  <si>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</si>
  <si>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</si>
  <si>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</si>
  <si>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</si>
  <si>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</si>
  <si>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</si>
  <si>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</si>
  <si>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</si>
  <si>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</si>
  <si>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</si>
  <si>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</si>
  <si>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</si>
  <si>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</si>
  <si>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</si>
  <si>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</si>
  <si>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</si>
  <si>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</si>
  <si>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</si>
  <si>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</si>
  <si>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</si>
  <si>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</si>
  <si>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</si>
  <si>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</si>
  <si>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</si>
  <si>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</si>
  <si>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</si>
  <si>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</si>
  <si>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</si>
  <si>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</si>
  <si>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</si>
  <si>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</si>
  <si>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</si>
  <si>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</si>
  <si>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</si>
  <si>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</si>
  <si>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</si>
  <si>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</si>
  <si>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</si>
  <si>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</si>
  <si>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</si>
  <si>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</si>
  <si>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</si>
  <si>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</si>
  <si>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</si>
  <si>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</si>
  <si>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</si>
  <si>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</si>
  <si>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</si>
  <si>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</si>
  <si>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</si>
  <si>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</si>
  <si>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</si>
  <si>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</si>
  <si>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</si>
  <si>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</si>
  <si>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</si>
  <si>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</si>
  <si>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</si>
  <si>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</si>
  <si>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</si>
  <si>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</si>
  <si>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</si>
  <si>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</si>
  <si>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</si>
  <si>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</si>
  <si>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</si>
  <si>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</si>
  <si>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</si>
  <si>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</si>
  <si>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</si>
  <si>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</si>
  <si>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</si>
  <si>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</si>
  <si>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</si>
  <si>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</si>
  <si>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</si>
  <si>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</si>
  <si>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</si>
  <si>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</si>
  <si>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</si>
  <si>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</si>
  <si>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</si>
  <si>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</si>
  <si>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</si>
  <si>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</si>
  <si>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</si>
  <si>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</si>
  <si>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</si>
  <si>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</si>
  <si>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</si>
  <si>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</si>
  <si>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</si>
  <si>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</si>
  <si>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</si>
  <si>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</si>
  <si>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</si>
  <si>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</si>
  <si>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</si>
  <si>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</si>
  <si>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</si>
  <si>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</si>
  <si>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</si>
  <si>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</si>
  <si>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</si>
  <si>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</si>
  <si>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</si>
  <si>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</si>
  <si>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</si>
  <si>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</si>
  <si>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</si>
  <si>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</si>
  <si>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</si>
  <si>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</si>
  <si>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</si>
  <si>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</si>
  <si>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</si>
  <si>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</si>
  <si>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</si>
  <si>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</si>
  <si>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</si>
  <si>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</si>
  <si>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</si>
  <si>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</si>
  <si>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</si>
  <si>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</si>
  <si>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</si>
  <si>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</si>
  <si>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</si>
  <si>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</si>
  <si>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</si>
  <si>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</si>
  <si>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</si>
  <si>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</si>
  <si>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</si>
  <si>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</si>
  <si>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</si>
  <si>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</si>
  <si>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</si>
  <si>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</si>
  <si>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</si>
  <si>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</si>
  <si>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</si>
  <si>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</si>
  <si>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</si>
  <si>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</si>
  <si>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</si>
  <si>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</si>
  <si>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</si>
  <si>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</si>
  <si>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</si>
  <si>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</si>
  <si>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</si>
  <si>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</si>
  <si>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</si>
  <si>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</si>
  <si>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</si>
  <si>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</si>
  <si>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</si>
  <si>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</si>
  <si>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</si>
  <si>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</si>
  <si>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</si>
  <si>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</si>
  <si>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</si>
  <si>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</si>
  <si>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</si>
  <si>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</si>
  <si>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</si>
  <si>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</si>
  <si>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</si>
  <si>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</si>
  <si>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</si>
  <si>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</si>
  <si>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</si>
  <si>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</si>
  <si>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</si>
  <si>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</si>
  <si>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</si>
  <si>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</si>
  <si>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</si>
  <si>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</si>
  <si>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</si>
  <si>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</si>
  <si>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</si>
  <si>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</si>
  <si>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</si>
  <si>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</si>
  <si>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</si>
  <si>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</si>
  <si>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</si>
  <si>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</si>
  <si>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</si>
  <si>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</si>
  <si>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</si>
  <si>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</si>
  <si>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</si>
  <si>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</si>
  <si>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</si>
  <si>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</si>
  <si>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</si>
  <si>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</si>
  <si>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</si>
  <si>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</si>
  <si>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</si>
  <si>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</si>
  <si>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</si>
  <si>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</si>
  <si>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</si>
  <si>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</si>
  <si>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</si>
  <si>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</si>
  <si>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</si>
  <si>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</si>
  <si>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</si>
  <si>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</si>
  <si>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</si>
  <si>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</si>
  <si>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</si>
  <si>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</si>
  <si>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</si>
  <si>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</si>
  <si>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</si>
  <si>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</si>
  <si>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</si>
  <si>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</si>
  <si>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</si>
  <si>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</si>
  <si>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</si>
  <si>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</si>
  <si>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</si>
  <si>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</si>
  <si>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</si>
  <si>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</si>
  <si>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</si>
  <si>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</si>
  <si>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</si>
  <si>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</si>
  <si>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</si>
  <si>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</si>
  <si>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</si>
  <si>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</si>
  <si>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</si>
  <si>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</si>
  <si>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</si>
  <si>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</si>
  <si>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</si>
  <si>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</si>
  <si>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</si>
  <si>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</si>
  <si>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</si>
  <si>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</si>
  <si>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</si>
  <si>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</si>
  <si>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</si>
  <si>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</si>
  <si>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</si>
  <si>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</si>
  <si>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</si>
  <si>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</si>
  <si>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</si>
  <si>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</si>
  <si>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</si>
  <si>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</si>
  <si>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</si>
  <si>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</si>
  <si>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</si>
  <si>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</si>
  <si>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</si>
  <si>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</si>
  <si>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</si>
  <si>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</si>
  <si>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</si>
  <si>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</si>
  <si>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</si>
  <si>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</si>
  <si>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</si>
  <si>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</si>
  <si>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</si>
  <si>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</si>
  <si>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</si>
  <si>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</si>
  <si>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</si>
  <si>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</si>
  <si>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</si>
  <si>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</si>
  <si>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</si>
  <si>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</si>
  <si>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</si>
  <si>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</si>
  <si>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</si>
  <si>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</si>
  <si>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</si>
  <si>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</si>
  <si>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</si>
  <si>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</si>
  <si>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</si>
  <si>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</si>
  <si>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</si>
  <si>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</si>
  <si>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</si>
  <si>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</si>
  <si>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</si>
  <si>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</si>
  <si>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</si>
  <si>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</si>
  <si>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</si>
  <si>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</si>
  <si>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</si>
  <si>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</si>
  <si>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</si>
  <si>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</si>
  <si>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</si>
  <si>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</si>
  <si>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</si>
  <si>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</si>
  <si>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</si>
  <si>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</si>
  <si>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</si>
  <si>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</si>
  <si>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</si>
  <si>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</si>
  <si>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</si>
  <si>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</si>
  <si>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</si>
  <si>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</si>
  <si>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</si>
  <si>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</si>
  <si>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</si>
  <si>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</si>
  <si>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</si>
  <si>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</si>
  <si>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</si>
  <si>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</si>
  <si>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</si>
  <si>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</si>
  <si>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</si>
  <si>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</si>
  <si>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</si>
  <si>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</si>
  <si>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</si>
  <si>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</si>
  <si>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</si>
  <si>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</si>
  <si>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</si>
  <si>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</si>
  <si>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</si>
  <si>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</si>
  <si>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</si>
  <si>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</si>
  <si>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</si>
  <si>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</si>
  <si>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</si>
  <si>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</si>
  <si>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</si>
  <si>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</si>
  <si>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</si>
  <si>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</si>
  <si>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</si>
  <si>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</si>
  <si>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</si>
  <si>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</si>
  <si>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</si>
  <si>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</si>
  <si>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</si>
  <si>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</si>
  <si>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</si>
  <si>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</si>
  <si>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</si>
  <si>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</si>
  <si>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</si>
  <si>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</si>
  <si>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</si>
  <si>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</si>
  <si>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</si>
  <si>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</si>
  <si>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</si>
  <si>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</si>
  <si>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</si>
  <si>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</si>
  <si>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</si>
  <si>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</si>
  <si>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</si>
  <si>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</si>
  <si>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</si>
  <si>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</si>
  <si>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</si>
  <si>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</si>
  <si>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</si>
  <si>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</si>
  <si>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</si>
  <si>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</si>
  <si>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</si>
  <si>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</si>
  <si>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</si>
  <si>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</si>
  <si>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</si>
  <si>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</si>
  <si>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</si>
  <si>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</si>
  <si>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</si>
  <si>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</si>
  <si>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</si>
  <si>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</si>
  <si>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</si>
  <si>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</si>
  <si>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</si>
  <si>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</si>
  <si>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</si>
  <si>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</si>
  <si>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</si>
  <si>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</si>
  <si>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</si>
  <si>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</si>
  <si>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</si>
  <si>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</si>
  <si>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</si>
  <si>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</si>
  <si>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</si>
  <si>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</si>
  <si>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</si>
  <si>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</si>
  <si>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</si>
  <si>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</si>
  <si>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</si>
  <si>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</si>
  <si>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</si>
  <si>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</si>
  <si>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</si>
  <si>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</si>
  <si>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</si>
  <si>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</si>
  <si>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</si>
  <si>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</si>
  <si>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</si>
  <si>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</si>
  <si>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</si>
  <si>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</si>
  <si>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</si>
  <si>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</si>
  <si>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</si>
  <si>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</si>
  <si>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</si>
  <si>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</si>
  <si>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</si>
  <si>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</si>
  <si>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</si>
  <si>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</si>
  <si>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</si>
  <si>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</si>
  <si>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</si>
  <si>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</si>
  <si>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</si>
  <si>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</si>
  <si>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</si>
  <si>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</si>
  <si>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</si>
  <si>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</si>
  <si>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</si>
  <si>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</si>
  <si>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</si>
  <si>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</si>
  <si>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</si>
  <si>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</si>
  <si>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</si>
  <si>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</si>
  <si>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</si>
  <si>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</si>
  <si>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</si>
  <si>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</si>
  <si>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</si>
  <si>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</si>
  <si>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</si>
  <si>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</si>
  <si>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</si>
  <si>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</si>
  <si>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</si>
  <si>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</si>
  <si>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</si>
  <si>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</si>
  <si>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</si>
  <si>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</si>
  <si>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</si>
  <si>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</si>
  <si>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</si>
  <si>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</si>
  <si>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</si>
  <si>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</si>
  <si>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</si>
  <si>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</si>
  <si>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</si>
  <si>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</si>
  <si>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</si>
  <si>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</si>
  <si>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</si>
  <si>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</si>
  <si>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</si>
  <si>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</si>
  <si>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</si>
  <si>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</si>
  <si>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</si>
  <si>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</si>
  <si>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</si>
  <si>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</si>
  <si>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</si>
  <si>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</si>
  <si>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</si>
  <si>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</si>
  <si>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</si>
  <si>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</si>
  <si>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</si>
  <si>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</si>
  <si>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</si>
  <si>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</si>
  <si>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</si>
  <si>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</si>
  <si>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</si>
  <si>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</si>
  <si>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</si>
  <si>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</si>
  <si>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</si>
  <si>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</si>
  <si>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</si>
  <si>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</si>
  <si>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</si>
  <si>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</si>
  <si>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</si>
  <si>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</si>
  <si>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</si>
  <si>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</si>
  <si>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</si>
  <si>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</si>
  <si>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</si>
  <si>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</si>
  <si>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</si>
  <si>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</si>
  <si>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</si>
  <si>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</si>
  <si>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</si>
  <si>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</si>
  <si>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</si>
  <si>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</si>
  <si>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</si>
  <si>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</si>
  <si>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</si>
  <si>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</si>
  <si>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</si>
  <si>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</si>
  <si>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</si>
  <si>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</si>
  <si>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</si>
  <si>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</si>
  <si>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</si>
  <si>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</si>
  <si>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</si>
  <si>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</si>
  <si>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</si>
  <si>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</si>
  <si>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</si>
  <si>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</si>
  <si>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</si>
  <si>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</si>
  <si>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</si>
  <si>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</si>
  <si>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</si>
  <si>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</si>
  <si>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</si>
  <si>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</si>
  <si>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</si>
  <si>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</si>
  <si>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</si>
  <si>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</si>
  <si>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</si>
  <si>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</si>
  <si>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</si>
  <si>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</si>
  <si>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</si>
  <si>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</si>
  <si>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</si>
  <si>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</si>
  <si>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</si>
  <si>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</si>
  <si>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</si>
  <si>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</si>
  <si>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</si>
  <si>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</si>
  <si>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</si>
  <si>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</si>
  <si>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</si>
  <si>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</si>
  <si>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</si>
  <si>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</si>
  <si>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</si>
  <si>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</si>
  <si>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</si>
  <si>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</si>
  <si>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</si>
  <si>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</si>
  <si>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</si>
  <si>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</si>
  <si>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</si>
  <si>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</si>
  <si>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</si>
  <si>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</si>
  <si>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</si>
  <si>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</si>
  <si>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</si>
  <si>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</si>
  <si>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</si>
  <si>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</si>
  <si>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</si>
  <si>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</si>
  <si>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</si>
  <si>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</si>
  <si>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</si>
  <si>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</si>
  <si>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</si>
  <si>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</si>
  <si>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</si>
  <si>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</si>
  <si>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</si>
  <si>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</si>
  <si>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</si>
  <si>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</si>
  <si>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</si>
  <si>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</si>
  <si>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</si>
  <si>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</si>
  <si>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</si>
  <si>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</si>
  <si>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</si>
  <si>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</si>
  <si>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</si>
  <si>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</si>
  <si>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</si>
  <si>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</si>
  <si>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</si>
  <si>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</si>
  <si>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</si>
  <si>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</si>
  <si>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</si>
  <si>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</si>
  <si>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</si>
  <si>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</si>
  <si>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</si>
  <si>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</si>
  <si>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</si>
  <si>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</si>
  <si>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</si>
  <si>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</si>
  <si>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</si>
  <si>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</si>
  <si>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</si>
  <si>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</si>
  <si>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</si>
  <si>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</si>
  <si>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</si>
  <si>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</si>
  <si>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</si>
  <si>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</si>
  <si>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</si>
  <si>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</si>
  <si>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</si>
  <si>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</si>
  <si>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</si>
  <si>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</si>
  <si>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</si>
  <si>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</si>
  <si>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</si>
  <si>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</si>
  <si>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</si>
  <si>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</si>
  <si>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</si>
  <si>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</si>
  <si>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</si>
  <si>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</si>
  <si>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</si>
  <si>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</si>
  <si>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</si>
  <si>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</si>
  <si>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</si>
  <si>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</si>
  <si>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</si>
  <si>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</si>
  <si>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</si>
  <si>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</si>
  <si>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</si>
  <si>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</si>
  <si>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</si>
  <si>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</si>
  <si>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</si>
  <si>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</si>
  <si>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</si>
  <si>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</si>
  <si>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</si>
  <si>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</si>
  <si>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</si>
  <si>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</si>
  <si>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</si>
  <si>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</si>
  <si>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</si>
  <si>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</si>
  <si>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</si>
  <si>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</si>
  <si>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</si>
  <si>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</si>
  <si>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</si>
  <si>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</si>
  <si>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</si>
  <si>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</si>
  <si>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</si>
  <si>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</si>
  <si>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</si>
  <si>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</si>
  <si>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</si>
  <si>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</si>
  <si>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</si>
  <si>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</si>
  <si>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</si>
  <si>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</si>
  <si>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</si>
  <si>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</si>
  <si>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</si>
  <si>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</si>
  <si>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</si>
  <si>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</si>
  <si>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</si>
  <si>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</si>
  <si>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</si>
  <si>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</si>
  <si>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</si>
  <si>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</si>
  <si>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</si>
  <si>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</si>
  <si>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</si>
  <si>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</si>
  <si>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</si>
  <si>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</si>
  <si>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</si>
  <si>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</si>
  <si>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</si>
  <si>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</si>
  <si>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</si>
  <si>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</si>
  <si>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</si>
  <si>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</si>
  <si>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</si>
  <si>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</si>
  <si>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</si>
  <si>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</si>
  <si>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</si>
  <si>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</si>
  <si>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</si>
  <si>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</si>
  <si>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</si>
  <si>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</si>
  <si>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</si>
  <si>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</si>
  <si>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</si>
  <si>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</si>
  <si>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</si>
  <si>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</si>
  <si>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</si>
  <si>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</si>
  <si>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</si>
  <si>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</si>
  <si>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</si>
  <si>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</si>
  <si>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</si>
  <si>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</si>
  <si>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</si>
  <si>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</si>
  <si>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</si>
  <si>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</si>
  <si>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</si>
  <si>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</si>
  <si>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</si>
  <si>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</si>
  <si>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</si>
  <si>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</si>
  <si>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</si>
  <si>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</si>
  <si>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</si>
  <si>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</si>
  <si>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</si>
  <si>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</si>
  <si>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</si>
  <si>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</si>
  <si>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</si>
  <si>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</si>
  <si>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</si>
  <si>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</si>
  <si>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</si>
  <si>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</si>
  <si>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</si>
  <si>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</si>
  <si>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</si>
  <si>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</si>
  <si>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</si>
  <si>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</si>
  <si>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</si>
  <si>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</si>
  <si>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</si>
  <si>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</si>
  <si>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</si>
  <si>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</si>
  <si>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</si>
  <si>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</si>
  <si>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</si>
  <si>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</si>
  <si>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</si>
  <si>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</si>
  <si>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</si>
  <si>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</si>
  <si>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</si>
  <si>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</si>
  <si>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</si>
  <si>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</si>
  <si>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</si>
  <si>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</si>
  <si>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</si>
  <si>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</si>
  <si>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</si>
  <si>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</si>
  <si>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</si>
  <si>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</si>
  <si>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</si>
  <si>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</si>
  <si>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</si>
  <si>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</si>
  <si>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</si>
  <si>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</si>
  <si>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</si>
  <si>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</si>
  <si>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</si>
  <si>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</si>
  <si>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</si>
  <si>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</si>
  <si>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</si>
  <si>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</si>
  <si>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</si>
  <si>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</si>
  <si>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</si>
  <si>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</si>
  <si>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</si>
  <si>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</si>
  <si>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</si>
  <si>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</si>
  <si>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</si>
  <si>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</si>
  <si>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</si>
  <si>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</si>
  <si>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</si>
  <si>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</si>
  <si>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</si>
  <si>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</si>
  <si>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</si>
  <si>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</si>
  <si>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</si>
  <si>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</si>
  <si>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</si>
  <si>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</si>
  <si>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</si>
  <si>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</si>
  <si>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</si>
  <si>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</si>
  <si>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</si>
  <si>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</si>
  <si>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</si>
  <si>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</si>
  <si>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</si>
  <si>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</si>
  <si>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</si>
  <si>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</si>
  <si>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</si>
  <si>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</si>
  <si>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</si>
  <si>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</si>
  <si>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</si>
  <si>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</si>
  <si>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</si>
  <si>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</si>
  <si>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</si>
  <si>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</si>
  <si>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</si>
  <si>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</si>
  <si>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</si>
  <si>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</si>
  <si>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</si>
  <si>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</si>
  <si>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</si>
  <si>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</si>
  <si>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</si>
  <si>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</si>
  <si>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</si>
  <si>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</si>
  <si>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</si>
  <si>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</si>
  <si>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</si>
  <si>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</si>
  <si>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</si>
  <si>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</si>
  <si>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</si>
  <si>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</si>
  <si>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</si>
  <si>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</si>
  <si>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</si>
  <si>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</si>
  <si>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</si>
  <si>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</si>
  <si>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</si>
  <si>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</si>
  <si>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</si>
  <si>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</si>
  <si>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</si>
  <si>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</si>
  <si>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</si>
  <si>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</si>
  <si>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</si>
  <si>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</si>
  <si>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</si>
  <si>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</si>
  <si>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</si>
  <si>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</si>
  <si>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</si>
  <si>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</si>
  <si>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</si>
  <si>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</si>
  <si>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</si>
  <si>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</si>
  <si>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</si>
  <si>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</si>
  <si>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</si>
  <si>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</si>
  <si>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</si>
  <si>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</si>
  <si>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</si>
  <si>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</si>
  <si>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</si>
  <si>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</si>
  <si>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</si>
  <si>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</si>
  <si>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</si>
  <si>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</si>
  <si>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</si>
  <si>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</si>
  <si>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</si>
  <si>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</si>
  <si>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</si>
  <si>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</si>
  <si>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</si>
  <si>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</si>
  <si>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</si>
  <si>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</si>
  <si>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</si>
  <si>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</si>
  <si>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</si>
  <si>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</si>
  <si>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</si>
  <si>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</si>
  <si>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</si>
  <si>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</si>
  <si>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</si>
  <si>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</si>
  <si>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</si>
  <si>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</si>
  <si>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</si>
  <si>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</si>
  <si>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</si>
  <si>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</si>
  <si>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</si>
  <si>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</si>
  <si>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</si>
  <si>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</si>
  <si>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</si>
  <si>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</si>
  <si>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</si>
  <si>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</si>
  <si>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</si>
  <si>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</si>
  <si>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</si>
  <si>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</si>
  <si>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</si>
  <si>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</si>
  <si>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</si>
  <si>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</si>
  <si>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</si>
  <si>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</si>
  <si>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</si>
  <si>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</si>
  <si>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</si>
  <si>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</si>
  <si>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</si>
  <si>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</si>
  <si>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</si>
  <si>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</si>
  <si>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</si>
  <si>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</si>
  <si>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</si>
  <si>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</si>
  <si>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</si>
  <si>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</si>
  <si>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</si>
  <si>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</si>
  <si>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</si>
  <si>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</si>
  <si>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</si>
  <si>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</si>
  <si>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</si>
  <si>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</si>
  <si>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</si>
  <si>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</si>
  <si>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</si>
  <si>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</si>
  <si>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</si>
  <si>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</si>
  <si>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</si>
  <si>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</si>
  <si>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</si>
  <si>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</si>
  <si>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</si>
  <si>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</si>
  <si>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</si>
  <si>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</si>
  <si>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</si>
  <si>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</si>
  <si>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</si>
  <si>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</si>
  <si>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</si>
  <si>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</si>
  <si>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</si>
  <si>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</si>
  <si>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</si>
  <si>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</si>
  <si>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</si>
  <si>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</si>
  <si>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</si>
  <si>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</si>
  <si>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</si>
  <si>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</si>
  <si>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</si>
  <si>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</si>
  <si>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</si>
  <si>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</si>
  <si>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</si>
  <si>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</si>
  <si>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</si>
  <si>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</si>
  <si>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</si>
  <si>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</si>
  <si>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</si>
  <si>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</si>
  <si>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</si>
  <si>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</si>
  <si>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</si>
  <si>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</si>
  <si>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</si>
  <si>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</si>
  <si>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</si>
  <si>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</si>
  <si>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</si>
  <si>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</si>
  <si>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</si>
  <si>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</si>
  <si>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</si>
  <si>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</si>
  <si>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</si>
  <si>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</si>
  <si>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</si>
  <si>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</si>
  <si>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</si>
  <si>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</si>
  <si>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</si>
  <si>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</si>
  <si>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</si>
  <si>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</si>
  <si>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</si>
  <si>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</si>
  <si>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</si>
  <si>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</si>
  <si>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</si>
  <si>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</si>
  <si>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</si>
  <si>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</si>
  <si>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</si>
  <si>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</si>
  <si>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</si>
  <si>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</si>
  <si>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</si>
  <si>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</si>
  <si>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</si>
  <si>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</si>
  <si>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</si>
  <si>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</si>
  <si>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</si>
  <si>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</si>
  <si>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</si>
  <si>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</si>
  <si>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</si>
  <si>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</si>
  <si>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</si>
  <si>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</si>
  <si>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</si>
  <si>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</si>
  <si>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</si>
  <si>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</si>
  <si>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</si>
  <si>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</si>
  <si>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</si>
  <si>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</si>
  <si>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</si>
  <si>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</si>
  <si>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</si>
  <si>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</si>
  <si>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</si>
  <si>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</si>
  <si>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</si>
  <si>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</si>
  <si>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</si>
  <si>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</si>
  <si>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</si>
  <si>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</si>
  <si>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</si>
  <si>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</si>
  <si>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</si>
  <si>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</si>
  <si>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</si>
  <si>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</si>
  <si>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</si>
  <si>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</si>
  <si>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</si>
  <si>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</si>
  <si>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</si>
  <si>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</si>
  <si>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</si>
  <si>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</si>
  <si>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</si>
  <si>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</si>
  <si>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</si>
  <si>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</si>
  <si>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</si>
  <si>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</si>
  <si>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</si>
  <si>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</si>
  <si>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</si>
  <si>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</si>
  <si>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</si>
  <si>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</si>
  <si>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</si>
  <si>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</si>
  <si>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</si>
  <si>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</si>
  <si>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</si>
  <si>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</si>
  <si>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</si>
  <si>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</si>
  <si>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</si>
  <si>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</si>
  <si>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</si>
  <si>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</si>
  <si>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</si>
  <si>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</si>
  <si>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</si>
  <si>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</si>
  <si>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</si>
  <si>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</si>
  <si>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</si>
  <si>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</si>
  <si>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</si>
  <si>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</si>
  <si>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</si>
  <si>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</si>
  <si>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</si>
  <si>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</si>
  <si>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</si>
  <si>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</si>
  <si>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</si>
  <si>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</si>
  <si>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</si>
  <si>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</si>
  <si>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</si>
  <si>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</si>
  <si>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</si>
  <si>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</si>
  <si>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</si>
  <si>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</si>
  <si>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</si>
  <si>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</si>
  <si>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</si>
  <si>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</si>
  <si>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</si>
  <si>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</si>
  <si>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</si>
  <si>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</si>
  <si>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</si>
  <si>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</si>
  <si>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</si>
  <si>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</si>
  <si>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</si>
  <si>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</si>
  <si>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</si>
  <si>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</si>
  <si>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</si>
  <si>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</si>
  <si>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</si>
  <si>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</si>
  <si>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</si>
  <si>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</si>
  <si>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</si>
  <si>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</si>
  <si>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</si>
  <si>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</si>
  <si>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</si>
  <si>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</si>
  <si>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</si>
  <si>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</si>
  <si>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</si>
  <si>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</si>
  <si>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</si>
  <si>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</si>
  <si>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</si>
  <si>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</si>
  <si>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</si>
  <si>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</si>
  <si>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</si>
  <si>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</si>
  <si>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</si>
  <si>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</si>
  <si>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</si>
  <si>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</si>
  <si>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</si>
  <si>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</si>
  <si>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</si>
  <si>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</si>
  <si>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</si>
  <si>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</si>
  <si>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</si>
  <si>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</si>
  <si>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</si>
  <si>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</si>
  <si>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</si>
  <si>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</si>
  <si>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</si>
  <si>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</si>
  <si>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</si>
  <si>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</si>
  <si>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</si>
  <si>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</si>
  <si>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</si>
  <si>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</si>
  <si>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</si>
  <si>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</si>
  <si>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</si>
  <si>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</si>
  <si>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</si>
  <si>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</si>
  <si>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</si>
  <si>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</si>
  <si>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</si>
  <si>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</si>
  <si>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</si>
  <si>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</si>
  <si>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</si>
  <si>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</si>
  <si>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</si>
  <si>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</si>
  <si>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</si>
  <si>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</si>
  <si>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</si>
  <si>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</si>
  <si>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</si>
  <si>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</si>
  <si>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</si>
  <si>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</si>
  <si>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</si>
  <si>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</si>
  <si>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</si>
  <si>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</si>
  <si>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</si>
  <si>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</si>
  <si>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</si>
  <si>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</si>
  <si>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</si>
  <si>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</si>
  <si>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</si>
  <si>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</si>
  <si>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</si>
  <si>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</si>
  <si>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</si>
  <si>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</si>
  <si>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</si>
  <si>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</si>
  <si>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</si>
  <si>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</si>
  <si>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</si>
  <si>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</si>
  <si>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</si>
  <si>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</si>
  <si>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</si>
  <si>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</si>
  <si>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</si>
  <si>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</si>
  <si>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</si>
  <si>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</si>
  <si>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</si>
  <si>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</si>
  <si>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</si>
  <si>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</si>
  <si>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</si>
  <si>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</si>
  <si>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</si>
  <si>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</si>
  <si>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</si>
  <si>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</si>
  <si>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</si>
  <si>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</si>
  <si>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</si>
  <si>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</si>
  <si>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</si>
  <si>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</si>
  <si>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</si>
  <si>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</si>
  <si>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</si>
  <si>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</si>
  <si>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</si>
  <si>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</si>
  <si>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</si>
  <si>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</si>
  <si>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</si>
  <si>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</si>
  <si>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</si>
  <si>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</si>
  <si>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</si>
  <si>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</si>
  <si>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</si>
  <si>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</si>
  <si>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</si>
  <si>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</si>
  <si>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</si>
  <si>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</si>
  <si>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</si>
  <si>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</si>
  <si>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</si>
  <si>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</si>
  <si>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</si>
  <si>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</si>
  <si>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</si>
  <si>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</si>
  <si>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</si>
  <si>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</si>
  <si>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</si>
  <si>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</si>
  <si>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</si>
  <si>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</si>
  <si>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</si>
  <si>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</si>
  <si>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</si>
  <si>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</si>
  <si>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</si>
  <si>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</si>
  <si>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</si>
  <si>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</si>
  <si>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</si>
  <si>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</si>
  <si>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</si>
  <si>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</si>
  <si>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</si>
  <si>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</si>
  <si>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</si>
  <si>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</si>
  <si>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</si>
  <si>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</si>
  <si>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</si>
  <si>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</si>
  <si>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</si>
  <si>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</si>
  <si>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</si>
  <si>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</si>
  <si>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</si>
  <si>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</si>
  <si>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</si>
  <si>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</si>
  <si>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</si>
  <si>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</si>
  <si>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</si>
  <si>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</si>
  <si>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</si>
  <si>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</si>
  <si>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</si>
  <si>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</si>
  <si>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</si>
  <si>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</si>
  <si>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</si>
  <si>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</si>
  <si>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</si>
  <si>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</si>
  <si>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</si>
  <si>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</si>
  <si>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</si>
  <si>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</si>
  <si>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</si>
  <si>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</si>
  <si>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</si>
  <si>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</si>
  <si>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</si>
  <si>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</si>
  <si>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</si>
  <si>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</si>
  <si>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</si>
  <si>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</si>
  <si>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</si>
  <si>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</si>
  <si>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</si>
  <si>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</si>
  <si>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</si>
  <si>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</si>
  <si>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</si>
  <si>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</si>
  <si>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</si>
  <si>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</si>
  <si>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</si>
  <si>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</si>
  <si>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</si>
  <si>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</si>
  <si>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</si>
  <si>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</si>
  <si>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</si>
  <si>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</si>
  <si>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</si>
  <si>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</si>
  <si>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</si>
  <si>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</si>
  <si>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</si>
  <si>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</si>
  <si>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</si>
  <si>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</si>
  <si>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</si>
  <si>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</si>
  <si>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</si>
  <si>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</si>
  <si>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</si>
  <si>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</si>
  <si>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</si>
  <si>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</si>
  <si>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</si>
  <si>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</si>
  <si>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</si>
  <si>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</si>
  <si>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</si>
  <si>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</si>
  <si>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</si>
  <si>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</si>
  <si>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</si>
  <si>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</si>
  <si>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</si>
  <si>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</si>
  <si>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</si>
  <si>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</si>
  <si>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</si>
  <si>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</si>
  <si>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</si>
  <si>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</si>
  <si>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</si>
  <si>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</si>
  <si>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</si>
  <si>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</si>
  <si>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</si>
  <si>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</si>
  <si>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</si>
  <si>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</si>
  <si>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</si>
  <si>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</si>
  <si>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</si>
  <si>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</si>
  <si>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</si>
  <si>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</si>
  <si>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</si>
  <si>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</si>
  <si>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</si>
  <si>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</si>
  <si>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</si>
  <si>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</si>
  <si>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</si>
  <si>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</si>
  <si>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</si>
  <si>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</si>
  <si>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</si>
  <si>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</si>
  <si>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</si>
  <si>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</si>
  <si>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</si>
  <si>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</si>
  <si>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</si>
  <si>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</si>
  <si>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</si>
  <si>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</si>
  <si>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</si>
  <si>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</si>
  <si>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</si>
  <si>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</si>
  <si>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</si>
  <si>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</si>
  <si>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</si>
  <si>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</si>
  <si>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</si>
  <si>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</si>
  <si>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</si>
  <si>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</si>
  <si>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</si>
  <si>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</si>
  <si>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</si>
  <si>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</si>
  <si>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</si>
  <si>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</si>
  <si>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</si>
  <si>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</si>
  <si>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</si>
  <si>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</si>
  <si>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</si>
  <si>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</si>
  <si>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</si>
  <si>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</si>
  <si>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</si>
  <si>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</si>
  <si>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</si>
  <si>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</si>
  <si>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</si>
  <si>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</si>
  <si>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</si>
  <si>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</si>
  <si>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</si>
  <si>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</si>
  <si>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</si>
  <si>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</si>
  <si>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</si>
  <si>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</si>
  <si>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</si>
  <si>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</si>
  <si>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</si>
  <si>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</si>
  <si>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</si>
  <si>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</si>
  <si>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</si>
  <si>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</si>
  <si>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</si>
  <si>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</si>
  <si>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</si>
  <si>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</si>
  <si>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</si>
  <si>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</si>
  <si>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</si>
  <si>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</si>
  <si>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</si>
  <si>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</si>
  <si>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</si>
  <si>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</si>
  <si>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</si>
  <si>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</si>
  <si>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</si>
  <si>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</si>
  <si>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</si>
  <si>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</si>
  <si>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</si>
  <si>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</si>
  <si>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</si>
  <si>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</si>
  <si>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</si>
  <si>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</si>
  <si>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</si>
  <si>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</si>
  <si>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</si>
  <si>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</si>
  <si>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</si>
  <si>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</si>
  <si>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</si>
  <si>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</si>
  <si>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</si>
  <si>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</si>
  <si>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</si>
  <si>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</si>
  <si>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</si>
  <si>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</si>
  <si>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</si>
  <si>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</si>
  <si>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</si>
  <si>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</si>
  <si>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</si>
  <si>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</si>
  <si>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</si>
  <si>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</si>
  <si>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</si>
  <si>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</si>
  <si>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</si>
  <si>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</si>
  <si>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</si>
  <si>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</si>
  <si>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</si>
  <si>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</si>
  <si>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</si>
  <si>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</si>
  <si>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</si>
  <si>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</si>
  <si>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</si>
  <si>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</si>
  <si>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</si>
  <si>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</si>
  <si>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</si>
  <si>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</si>
  <si>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</si>
  <si>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</si>
  <si>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</si>
  <si>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</si>
  <si>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</si>
  <si>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</si>
  <si>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</si>
  <si>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</si>
  <si>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</si>
  <si>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</si>
  <si>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</si>
  <si>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</si>
  <si>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</si>
  <si>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</si>
  <si>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</si>
  <si>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</si>
  <si>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</si>
  <si>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</si>
  <si>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</si>
  <si>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</si>
  <si>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</si>
  <si>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</si>
  <si>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</si>
  <si>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</si>
  <si>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</si>
  <si>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</si>
  <si>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</si>
  <si>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</si>
  <si>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</si>
  <si>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</si>
  <si>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</si>
  <si>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</si>
  <si>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</si>
  <si>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</si>
  <si>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</si>
  <si>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</si>
  <si>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</si>
  <si>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</si>
  <si>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</si>
  <si>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</si>
  <si>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</si>
  <si>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</si>
  <si>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</si>
  <si>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</si>
  <si>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</si>
  <si>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</si>
  <si>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</si>
  <si>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</si>
  <si>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</si>
  <si>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</si>
  <si>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</si>
  <si>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</si>
  <si>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</si>
  <si>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</si>
  <si>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</si>
  <si>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</si>
  <si>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</si>
  <si>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</si>
  <si>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</si>
  <si>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</si>
  <si>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</si>
  <si>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</si>
  <si>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</si>
  <si>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</si>
  <si>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</si>
  <si>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</si>
  <si>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</si>
  <si>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</si>
  <si>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</si>
  <si>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</si>
  <si>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</si>
  <si>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</si>
  <si>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</si>
  <si>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</si>
  <si>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</si>
  <si>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</si>
  <si>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</si>
  <si>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</si>
  <si>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</si>
  <si>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</si>
  <si>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</si>
  <si>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</si>
  <si>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</si>
  <si>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</si>
  <si>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</si>
  <si>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</si>
  <si>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</si>
  <si>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</si>
  <si>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</si>
  <si>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</si>
  <si>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</si>
  <si>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</si>
  <si>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</si>
  <si>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</si>
  <si>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</si>
  <si>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</si>
  <si>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</si>
  <si>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</si>
  <si>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</si>
  <si>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</si>
  <si>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</si>
  <si>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</si>
  <si>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</si>
  <si>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</si>
  <si>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</si>
  <si>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</si>
  <si>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</si>
  <si>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</si>
  <si>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</si>
  <si>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</si>
  <si>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</si>
  <si>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</si>
  <si>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</si>
  <si>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</si>
  <si>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</si>
  <si>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</si>
  <si>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</si>
  <si>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</si>
  <si>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</si>
  <si>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</si>
  <si>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</si>
  <si>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</si>
  <si>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</si>
  <si>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</si>
  <si>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</si>
  <si>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</si>
  <si>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</si>
  <si>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</si>
  <si>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</si>
  <si>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</si>
  <si>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</si>
  <si>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</si>
  <si>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</si>
  <si>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</si>
  <si>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</si>
  <si>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</si>
  <si>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</si>
  <si>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</si>
  <si>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</si>
  <si>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</si>
  <si>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</si>
  <si>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</si>
  <si>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</si>
  <si>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</si>
  <si>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</si>
  <si>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</si>
  <si>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</si>
  <si>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</si>
  <si>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</si>
  <si>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</si>
  <si>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</si>
  <si>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</si>
  <si>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</si>
  <si>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</si>
  <si>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</si>
  <si>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</si>
  <si>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</si>
  <si>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</si>
  <si>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</si>
  <si>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</si>
  <si>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</si>
  <si>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</si>
  <si>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</si>
  <si>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</si>
  <si>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</si>
  <si>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</si>
  <si>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</si>
  <si>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</si>
  <si>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</si>
  <si>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</si>
  <si>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</si>
  <si>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</si>
  <si>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</si>
  <si>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</si>
  <si>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</si>
  <si>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</si>
  <si>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</si>
  <si>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</si>
  <si>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</si>
  <si>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</si>
  <si>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</si>
  <si>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</si>
  <si>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</si>
  <si>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</si>
  <si>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</si>
  <si>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</si>
  <si>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</si>
  <si>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</si>
  <si>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</si>
  <si>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</si>
  <si>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</si>
  <si>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</si>
  <si>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</si>
  <si>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</si>
  <si>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</si>
  <si>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</si>
  <si>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</si>
  <si>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</si>
  <si>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</si>
  <si>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</si>
  <si>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</si>
  <si>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</si>
  <si>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</si>
  <si>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</si>
  <si>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</si>
  <si>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</si>
  <si>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</si>
  <si>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</si>
  <si>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</si>
  <si>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</si>
  <si>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</si>
  <si>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</si>
  <si>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</si>
  <si>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</si>
  <si>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</si>
  <si>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</si>
  <si>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</si>
  <si>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</si>
  <si>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</si>
  <si>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</si>
  <si>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</si>
  <si>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</si>
  <si>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</si>
  <si>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</si>
  <si>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</si>
  <si>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</si>
  <si>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</si>
  <si>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</si>
  <si>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</si>
  <si>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</si>
  <si>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</si>
  <si>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</si>
  <si>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</si>
  <si>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</si>
  <si>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</si>
  <si>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</si>
  <si>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</si>
  <si>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</si>
  <si>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</si>
  <si>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</si>
  <si>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</si>
  <si>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</si>
  <si>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</si>
  <si>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</si>
  <si>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</si>
  <si>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</si>
  <si>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</si>
  <si>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</si>
  <si>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</si>
  <si>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</si>
  <si>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</si>
  <si>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</si>
  <si>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</si>
  <si>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</si>
  <si>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</si>
  <si>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</si>
  <si>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</si>
  <si>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</si>
  <si>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</si>
  <si>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</si>
  <si>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</si>
  <si>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</si>
  <si>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</si>
  <si>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</si>
  <si>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</si>
  <si>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</si>
  <si>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</si>
  <si>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</si>
  <si>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</si>
  <si>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</si>
  <si>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</si>
  <si>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</si>
  <si>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</si>
  <si>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</si>
  <si>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</si>
  <si>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</si>
  <si>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</si>
  <si>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</si>
  <si>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</si>
  <si>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</si>
  <si>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</si>
  <si>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</si>
  <si>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</si>
  <si>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</si>
  <si>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</si>
  <si>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</si>
  <si>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</si>
  <si>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</si>
  <si>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</si>
  <si>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</si>
  <si>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</si>
  <si>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</si>
  <si>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</si>
  <si>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</si>
  <si>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</si>
  <si>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</si>
  <si>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</si>
  <si>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</si>
  <si>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</si>
  <si>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</si>
  <si>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</si>
  <si>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</si>
  <si>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</si>
  <si>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</si>
  <si>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</si>
  <si>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</si>
  <si>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</si>
  <si>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</si>
  <si>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</si>
  <si>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</si>
  <si>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</si>
  <si>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</si>
  <si>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</si>
  <si>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</si>
  <si>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</si>
  <si>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</si>
  <si>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</si>
  <si>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</si>
  <si>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</si>
  <si>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</si>
  <si>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</si>
  <si>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</si>
  <si>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</si>
  <si>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</si>
  <si>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</si>
  <si>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</si>
  <si>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</si>
  <si>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</si>
  <si>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</si>
  <si>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</si>
  <si>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</si>
  <si>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</si>
  <si>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</si>
  <si>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</si>
  <si>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</si>
  <si>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</si>
  <si>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</si>
  <si>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</si>
  <si>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</si>
  <si>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</si>
  <si>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</si>
  <si>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</si>
  <si>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</si>
  <si>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</si>
  <si>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</si>
  <si>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</si>
  <si>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</si>
  <si>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</si>
  <si>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</si>
  <si>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</si>
  <si>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</si>
  <si>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</si>
  <si>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</si>
  <si>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</si>
  <si>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</si>
  <si>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</si>
  <si>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</si>
  <si>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</si>
  <si>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</si>
  <si>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</si>
  <si>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</si>
  <si>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</si>
  <si>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</si>
  <si>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</si>
  <si>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</si>
  <si>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</si>
  <si>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</si>
  <si>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</si>
  <si>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</si>
  <si>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</si>
  <si>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</si>
  <si>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</si>
  <si>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</si>
  <si>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</si>
  <si>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</si>
  <si>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</si>
  <si>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</si>
  <si>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</si>
  <si>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</si>
  <si>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</si>
  <si>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</si>
  <si>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</si>
  <si>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</si>
  <si>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</si>
  <si>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</si>
  <si>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</si>
  <si>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</si>
  <si>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</si>
  <si>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</si>
  <si>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</si>
  <si>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</si>
  <si>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</si>
  <si>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</si>
  <si>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</si>
  <si>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</si>
  <si>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</si>
  <si>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</si>
  <si>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</si>
  <si>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</si>
  <si>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</si>
  <si>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</si>
  <si>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</si>
  <si>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</si>
  <si>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</si>
  <si>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</si>
  <si>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</si>
  <si>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</si>
  <si>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</si>
  <si>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</si>
  <si>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</si>
  <si>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</si>
  <si>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</si>
  <si>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</si>
  <si>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</si>
  <si>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</si>
  <si>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</si>
  <si>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</si>
  <si>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</si>
  <si>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</si>
  <si>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</si>
  <si>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</si>
  <si>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</si>
  <si>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</si>
  <si>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</si>
  <si>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</si>
  <si>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</si>
  <si>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</si>
  <si>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</si>
  <si>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</si>
  <si>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</si>
  <si>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</si>
  <si>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</si>
  <si>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</si>
  <si>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</si>
  <si>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</si>
  <si>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</si>
  <si>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</si>
  <si>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</si>
  <si>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</si>
  <si>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</si>
  <si>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</si>
  <si>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</si>
  <si>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</si>
  <si>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</si>
  <si>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</si>
  <si>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</si>
  <si>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</si>
  <si>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</si>
  <si>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</si>
  <si>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</si>
  <si>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</si>
  <si>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</si>
  <si>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</si>
  <si>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</si>
  <si>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</si>
  <si>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</si>
  <si>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</si>
  <si>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</si>
  <si>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</si>
  <si>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</si>
  <si>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</si>
  <si>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</si>
  <si>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</si>
  <si>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</si>
  <si>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</si>
  <si>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</si>
  <si>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</si>
  <si>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</si>
  <si>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</si>
  <si>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</si>
  <si>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</si>
  <si>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</si>
  <si>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</si>
  <si>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</si>
  <si>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</si>
  <si>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</si>
  <si>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</si>
  <si>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</si>
  <si>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</si>
  <si>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</si>
  <si>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</si>
  <si>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</si>
  <si>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</si>
  <si>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</si>
  <si>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</si>
  <si>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</si>
  <si>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</si>
  <si>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</si>
  <si>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</si>
  <si>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</si>
  <si>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</si>
  <si>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</si>
  <si>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</si>
  <si>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</si>
  <si>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</si>
  <si>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</si>
  <si>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</si>
  <si>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</si>
  <si>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</si>
  <si>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</si>
  <si>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</si>
  <si>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</si>
  <si>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</si>
  <si>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</si>
  <si>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</si>
  <si>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</si>
  <si>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</si>
  <si>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</si>
  <si>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</si>
  <si>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</si>
  <si>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</si>
  <si>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</si>
  <si>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</si>
  <si>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</si>
  <si>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</si>
  <si>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</si>
  <si>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</si>
  <si>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</si>
  <si>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</si>
  <si>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</si>
  <si>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</si>
  <si>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</si>
  <si>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</si>
  <si>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</si>
  <si>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</si>
  <si>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</si>
  <si>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</si>
  <si>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</si>
  <si>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</si>
  <si>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</si>
  <si>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</si>
  <si>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</si>
  <si>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</si>
  <si>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</si>
  <si>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</si>
  <si>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</si>
  <si>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</si>
  <si>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</si>
  <si>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</si>
  <si>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</si>
  <si>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</si>
  <si>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</si>
  <si>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</si>
  <si>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</si>
  <si>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</si>
  <si>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</si>
  <si>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</si>
  <si>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</si>
  <si>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</si>
  <si>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</si>
  <si>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</si>
  <si>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</si>
  <si>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</si>
  <si>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</si>
  <si>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</si>
  <si>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</si>
  <si>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</si>
  <si>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</si>
  <si>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</si>
  <si>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</si>
  <si>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</si>
  <si>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</si>
  <si>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</si>
  <si>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</si>
  <si>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</si>
  <si>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</si>
  <si>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</si>
  <si>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</si>
  <si>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</si>
  <si>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</si>
  <si>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</si>
  <si>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</si>
  <si>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</si>
  <si>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</si>
  <si>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</si>
  <si>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</si>
  <si>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</si>
  <si>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</si>
  <si>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</si>
  <si>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</si>
  <si>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</si>
  <si>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</si>
  <si>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</si>
  <si>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</si>
  <si>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</si>
  <si>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</si>
  <si>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</si>
  <si>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</si>
  <si>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</si>
  <si>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</si>
  <si>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</si>
  <si>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</si>
  <si>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</si>
  <si>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</si>
  <si>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</si>
  <si>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</si>
  <si>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</si>
  <si>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</si>
  <si>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</si>
  <si>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</si>
  <si>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</si>
  <si>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</si>
  <si>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</si>
  <si>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</si>
  <si>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</si>
  <si>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</si>
  <si>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</si>
  <si>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</si>
  <si>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</si>
  <si>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</si>
  <si>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</si>
  <si>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</si>
  <si>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</si>
  <si>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</si>
  <si>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</si>
  <si>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</si>
  <si>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</si>
  <si>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</si>
  <si>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</si>
  <si>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</si>
  <si>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</si>
  <si>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</si>
  <si>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</si>
  <si>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</si>
  <si>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</si>
  <si>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</si>
  <si>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</si>
  <si>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</si>
  <si>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</si>
  <si>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</si>
  <si>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</si>
  <si>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</si>
  <si>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</si>
  <si>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</si>
  <si>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</si>
  <si>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</si>
  <si>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</si>
  <si>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</si>
  <si>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</si>
  <si>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</si>
  <si>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</si>
  <si>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</si>
  <si>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</si>
  <si>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</si>
  <si>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</si>
  <si>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</si>
  <si>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</si>
  <si>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</si>
  <si>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</si>
  <si>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</si>
  <si>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</si>
  <si>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</si>
  <si>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</si>
  <si>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</si>
  <si>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</si>
  <si>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</si>
  <si>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</si>
  <si>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</si>
  <si>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</si>
  <si>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</si>
  <si>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</si>
  <si>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</si>
  <si>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</si>
  <si>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</si>
  <si>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</si>
  <si>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</si>
  <si>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</si>
  <si>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</si>
  <si>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</si>
  <si>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</si>
  <si>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</si>
  <si>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</si>
  <si>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</si>
  <si>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</si>
  <si>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</si>
  <si>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</si>
  <si>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</si>
  <si>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</si>
  <si>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</si>
  <si>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</si>
  <si>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</si>
  <si>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</si>
  <si>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</si>
  <si>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</si>
  <si>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</si>
  <si>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</si>
  <si>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</si>
  <si>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</si>
  <si>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</si>
  <si>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</si>
  <si>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</si>
  <si>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</si>
  <si>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</si>
  <si>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</si>
  <si>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</si>
  <si>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</si>
  <si>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</si>
  <si>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</si>
  <si>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</si>
  <si>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</si>
  <si>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</si>
  <si>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</si>
  <si>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</si>
  <si>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</si>
  <si>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</si>
  <si>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</si>
  <si>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</si>
  <si>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</si>
  <si>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</si>
  <si>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</si>
  <si>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</si>
  <si>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</si>
  <si>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</si>
  <si>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</si>
  <si>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</si>
  <si>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</si>
  <si>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</si>
  <si>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</si>
  <si>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</si>
  <si>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</si>
  <si>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</si>
  <si>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</si>
  <si>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</si>
  <si>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</si>
  <si>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</si>
  <si>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</si>
  <si>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</si>
  <si>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</si>
  <si>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</si>
  <si>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</si>
  <si>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</si>
  <si>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</si>
  <si>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</si>
  <si>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</si>
  <si>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</si>
  <si>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</si>
  <si>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</si>
  <si>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</si>
  <si>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</si>
  <si>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</si>
  <si>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</si>
  <si>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</si>
  <si>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</si>
  <si>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</si>
  <si>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</si>
  <si>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</si>
  <si>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</si>
  <si>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</si>
  <si>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</si>
  <si>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</si>
  <si>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</si>
  <si>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</si>
  <si>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</si>
  <si>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</si>
  <si>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</si>
  <si>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</si>
  <si>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</si>
  <si>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</si>
  <si>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</si>
  <si>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</si>
  <si>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</si>
  <si>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</si>
  <si>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</si>
  <si>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</si>
  <si>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</si>
  <si>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</si>
  <si>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</si>
  <si>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</si>
  <si>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</si>
  <si>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</si>
  <si>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</si>
  <si>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</si>
  <si>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</si>
  <si>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</si>
  <si>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</si>
  <si>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</si>
  <si>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</si>
  <si>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</si>
  <si>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</si>
  <si>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</si>
  <si>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</si>
  <si>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</si>
  <si>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</si>
  <si>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</si>
  <si>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</si>
  <si>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</si>
  <si>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</si>
  <si>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</si>
  <si>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</si>
  <si>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</si>
  <si>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</si>
  <si>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</si>
  <si>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</si>
  <si>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</si>
  <si>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</si>
  <si>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</si>
  <si>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</si>
  <si>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</si>
  <si>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</si>
  <si>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</si>
  <si>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</si>
  <si>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</si>
  <si>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</si>
  <si>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</si>
  <si>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</si>
  <si>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</si>
  <si>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</si>
  <si>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</si>
  <si>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</si>
  <si>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</si>
  <si>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</si>
  <si>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</si>
  <si>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</si>
  <si>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</si>
  <si>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</si>
  <si>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</si>
  <si>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</si>
  <si>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</si>
  <si>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</si>
  <si>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</si>
  <si>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</si>
  <si>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</si>
  <si>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</si>
  <si>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</si>
  <si>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</si>
  <si>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</si>
  <si>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</si>
  <si>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</si>
  <si>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</si>
  <si>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</si>
  <si>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</si>
  <si>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</si>
  <si>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</si>
  <si>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</si>
  <si>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</si>
  <si>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</si>
  <si>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</si>
  <si>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</si>
  <si>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</si>
  <si>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</si>
  <si>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</si>
  <si>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</si>
  <si>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</si>
  <si>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</si>
  <si>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</si>
  <si>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</si>
  <si>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</si>
  <si>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</si>
  <si>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</si>
  <si>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</si>
  <si>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</si>
  <si>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</si>
  <si>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</si>
  <si>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</si>
  <si>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</si>
  <si>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</si>
  <si>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</si>
  <si>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</si>
  <si>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</si>
  <si>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</si>
  <si>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</si>
  <si>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</si>
  <si>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</si>
  <si>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</si>
  <si>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</si>
  <si>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</si>
  <si>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</si>
  <si>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</si>
  <si>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</si>
  <si>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</si>
  <si>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</si>
  <si>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</si>
  <si>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</si>
  <si>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</si>
  <si>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</si>
  <si>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</si>
  <si>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</si>
  <si>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</si>
  <si>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</si>
  <si>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</si>
  <si>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</si>
  <si>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</si>
  <si>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</si>
  <si>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</si>
  <si>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</si>
  <si>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</si>
  <si>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</si>
  <si>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</si>
  <si>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</si>
  <si>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</si>
  <si>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</si>
  <si>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</si>
  <si>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</si>
  <si>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</si>
  <si>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</si>
  <si>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</si>
  <si>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</si>
  <si>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</si>
  <si>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</si>
  <si>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</si>
  <si>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</si>
  <si>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</si>
  <si>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</si>
  <si>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</si>
  <si>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</si>
  <si>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</si>
  <si>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</si>
  <si>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</si>
  <si>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</si>
  <si>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</si>
  <si>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</si>
  <si>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</si>
  <si>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</si>
  <si>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</si>
  <si>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</si>
  <si>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</si>
  <si>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</si>
  <si>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</si>
  <si>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</si>
  <si>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</si>
  <si>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</si>
  <si>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</si>
  <si>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</si>
  <si>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</si>
  <si>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</si>
  <si>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</si>
  <si>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</si>
  <si>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</si>
  <si>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</si>
  <si>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</si>
  <si>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</si>
  <si>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</si>
  <si>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</si>
  <si>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</si>
  <si>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</si>
  <si>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</si>
  <si>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</si>
  <si>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</si>
  <si>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</si>
  <si>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</si>
  <si>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</si>
  <si>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</si>
  <si>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</si>
  <si>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</si>
  <si>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</si>
  <si>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</si>
  <si>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</si>
  <si>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</si>
  <si>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</si>
  <si>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</si>
  <si>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</si>
  <si>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</si>
  <si>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</si>
  <si>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</si>
  <si>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</si>
  <si>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</si>
  <si>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</si>
  <si>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</si>
  <si>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</si>
  <si>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</si>
  <si>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</si>
  <si>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</si>
  <si>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</si>
  <si>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</si>
  <si>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</si>
  <si>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</si>
  <si>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</si>
  <si>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</si>
  <si>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</si>
  <si>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</si>
  <si>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</si>
  <si>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</si>
  <si>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</si>
  <si>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</si>
  <si>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</si>
  <si>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</si>
  <si>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</si>
  <si>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</si>
  <si>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</si>
  <si>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</si>
  <si>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</si>
  <si>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</si>
  <si>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</si>
  <si>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</si>
  <si>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</si>
  <si>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</si>
  <si>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</si>
  <si>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</si>
  <si>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</si>
  <si>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</si>
  <si>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</si>
  <si>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</si>
  <si>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</si>
  <si>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</si>
  <si>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</si>
  <si>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</si>
  <si>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</si>
  <si>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</si>
  <si>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</si>
  <si>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</si>
  <si>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</si>
  <si>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</si>
  <si>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</si>
  <si>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</si>
  <si>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</si>
  <si>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</si>
  <si>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</si>
  <si>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</si>
  <si>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</si>
  <si>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</si>
  <si>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</si>
  <si>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</si>
  <si>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</si>
  <si>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</si>
  <si>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</si>
  <si>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</si>
  <si>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</si>
  <si>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</si>
  <si>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</si>
  <si>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</si>
  <si>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</si>
  <si>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</si>
  <si>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</si>
  <si>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</si>
  <si>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</si>
  <si>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</si>
  <si>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</si>
  <si>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</si>
  <si>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</si>
  <si>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</si>
  <si>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</si>
  <si>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</si>
  <si>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</si>
  <si>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</si>
  <si>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</si>
  <si>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</si>
  <si>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</si>
  <si>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</si>
  <si>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</si>
  <si>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</si>
  <si>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</si>
  <si>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</si>
  <si>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</si>
  <si>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</si>
  <si>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</si>
  <si>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</si>
  <si>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</si>
  <si>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</si>
  <si>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</si>
  <si>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</si>
  <si>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</si>
  <si>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</si>
  <si>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</si>
  <si>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</si>
  <si>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</si>
  <si>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</si>
  <si>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</si>
  <si>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</si>
  <si>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</si>
  <si>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</si>
  <si>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</si>
  <si>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</si>
  <si>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</si>
  <si>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</si>
  <si>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</si>
  <si>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</si>
  <si>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</si>
  <si>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</si>
  <si>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</si>
  <si>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</si>
  <si>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</si>
  <si>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</si>
  <si>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</si>
  <si>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</si>
  <si>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</si>
  <si>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</si>
  <si>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</si>
  <si>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</si>
  <si>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</si>
  <si>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</si>
  <si>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</si>
  <si>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</si>
  <si>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</si>
  <si>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</si>
  <si>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</si>
  <si>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</si>
  <si>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</si>
  <si>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</si>
  <si>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</si>
  <si>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</si>
  <si>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</si>
  <si>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</si>
  <si>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</si>
  <si>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</si>
  <si>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</si>
  <si>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</si>
  <si>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</si>
  <si>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</si>
  <si>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</si>
  <si>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</si>
  <si>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</si>
  <si>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</si>
  <si>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</si>
  <si>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</si>
  <si>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</si>
  <si>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</si>
  <si>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</si>
  <si>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</si>
  <si>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</si>
  <si>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</si>
  <si>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</si>
  <si>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</si>
  <si>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</si>
  <si>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</si>
  <si>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</si>
  <si>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</si>
  <si>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</si>
  <si>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</si>
  <si>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</si>
  <si>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</si>
  <si>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</si>
  <si>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</si>
  <si>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</si>
  <si>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</si>
  <si>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</si>
  <si>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</si>
  <si>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</si>
  <si>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</si>
  <si>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</si>
  <si>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</si>
  <si>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</si>
  <si>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</si>
  <si>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</si>
  <si>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</si>
  <si>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</si>
  <si>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</si>
  <si>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</si>
  <si>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</si>
  <si>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</si>
  <si>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</si>
  <si>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</si>
  <si>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</si>
  <si>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</si>
  <si>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</si>
  <si>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</si>
  <si>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</si>
  <si>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</si>
  <si>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</si>
  <si>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</si>
  <si>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</si>
  <si>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</si>
  <si>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</si>
  <si>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</si>
  <si>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</si>
  <si>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</si>
  <si>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</si>
  <si>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</si>
  <si>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</si>
  <si>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</si>
  <si>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</si>
  <si>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</si>
  <si>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</si>
  <si>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</si>
  <si>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</si>
  <si>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</si>
  <si>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</si>
  <si>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</si>
  <si>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</si>
  <si>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</si>
  <si>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</si>
  <si>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</si>
  <si>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</si>
  <si>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</si>
  <si>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</si>
  <si>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</si>
  <si>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</si>
  <si>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</si>
  <si>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</si>
  <si>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</si>
  <si>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</si>
  <si>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</si>
  <si>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</si>
  <si>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</si>
  <si>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</si>
  <si>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</si>
  <si>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</si>
  <si>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</si>
  <si>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</si>
  <si>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</si>
  <si>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</si>
  <si>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</si>
  <si>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</si>
  <si>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</si>
  <si>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</si>
  <si>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</si>
  <si>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</si>
  <si>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</si>
  <si>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</si>
  <si>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</si>
  <si>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</si>
  <si>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</si>
  <si>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</si>
  <si>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</si>
  <si>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</si>
  <si>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</si>
  <si>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</si>
  <si>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</si>
  <si>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</si>
  <si>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</si>
  <si>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</si>
  <si>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</si>
  <si>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</si>
  <si>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</si>
  <si>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</si>
  <si>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</si>
  <si>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</si>
  <si>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</si>
  <si>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</si>
  <si>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</si>
  <si>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</si>
  <si>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</si>
  <si>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</si>
  <si>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</si>
  <si>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</si>
  <si>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</si>
  <si>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</si>
  <si>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</si>
  <si>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</si>
  <si>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</si>
  <si>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</si>
  <si>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</si>
  <si>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</si>
  <si>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</si>
  <si>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</si>
  <si>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</si>
  <si>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</si>
  <si>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</si>
  <si>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</si>
  <si>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</si>
  <si>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</si>
  <si>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</si>
  <si>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</si>
  <si>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</si>
  <si>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</si>
  <si>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</si>
  <si>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</si>
  <si>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</si>
  <si>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</si>
  <si>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</si>
  <si>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</si>
  <si>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</si>
  <si>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</si>
  <si>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</si>
  <si>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</si>
  <si>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</si>
  <si>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</si>
  <si>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</si>
  <si>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</si>
  <si>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</si>
  <si>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</si>
  <si>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</si>
  <si>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</si>
  <si>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</si>
  <si>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</si>
  <si>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</si>
  <si>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</si>
  <si>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</si>
  <si>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</si>
  <si>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</si>
  <si>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</si>
  <si>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</si>
  <si>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</si>
  <si>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</si>
  <si>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</si>
  <si>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</si>
  <si>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</si>
  <si>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</si>
  <si>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</si>
  <si>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</si>
  <si>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</si>
  <si>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</si>
  <si>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</si>
  <si>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</si>
  <si>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</si>
  <si>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</si>
  <si>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</si>
  <si>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</si>
  <si>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</si>
  <si>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</si>
  <si>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</si>
  <si>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</si>
  <si>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</si>
  <si>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</si>
  <si>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</si>
  <si>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</si>
  <si>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</si>
  <si>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</si>
  <si>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</si>
  <si>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</si>
  <si>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</si>
  <si>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</si>
  <si>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</si>
  <si>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</si>
  <si>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</si>
  <si>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</si>
  <si>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</si>
  <si>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</si>
  <si>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</si>
  <si>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</si>
  <si>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</si>
  <si>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</si>
  <si>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</si>
  <si>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</si>
  <si>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</si>
  <si>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</si>
  <si>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</si>
  <si>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</si>
  <si>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</si>
  <si>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</si>
  <si>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</si>
  <si>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</si>
  <si>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</si>
  <si>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</si>
  <si>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</si>
  <si>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</si>
  <si>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</si>
  <si>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</si>
  <si>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</si>
  <si>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</si>
  <si>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</si>
  <si>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</si>
  <si>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</si>
  <si>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</si>
  <si>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</si>
  <si>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</si>
  <si>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</si>
  <si>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</si>
  <si>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</si>
  <si>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</si>
  <si>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</si>
  <si>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</si>
  <si>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</si>
  <si>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</si>
  <si>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</si>
  <si>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</si>
  <si>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</si>
  <si>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</si>
  <si>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</si>
  <si>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</si>
  <si>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</si>
  <si>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</si>
  <si>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</si>
  <si>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</si>
  <si>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</si>
  <si>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</si>
  <si>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</si>
  <si>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</si>
  <si>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</si>
  <si>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</si>
  <si>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</si>
  <si>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</si>
  <si>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</si>
  <si>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</si>
  <si>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</si>
  <si>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</si>
  <si>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</si>
  <si>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</si>
  <si>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</si>
  <si>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</si>
  <si>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</si>
  <si>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</si>
  <si>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</si>
  <si>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</si>
  <si>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</si>
  <si>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</si>
  <si>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</si>
  <si>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</si>
  <si>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</si>
  <si>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</si>
  <si>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</si>
  <si>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</si>
  <si>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</si>
  <si>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</si>
  <si>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</si>
  <si>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</si>
  <si>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</si>
  <si>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</si>
  <si>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</si>
  <si>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</si>
  <si>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</si>
  <si>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</si>
  <si>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</si>
  <si>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</si>
  <si>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</si>
  <si>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</si>
  <si>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</si>
  <si>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</si>
  <si>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</si>
  <si>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</si>
  <si>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</si>
  <si>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</si>
  <si>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</si>
  <si>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</si>
  <si>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</si>
  <si>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</si>
  <si>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</si>
  <si>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</si>
  <si>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</si>
  <si>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</si>
  <si>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</si>
  <si>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</si>
  <si>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</si>
  <si>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</si>
  <si>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</si>
  <si>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</si>
  <si>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</si>
  <si>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</si>
  <si>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</si>
  <si>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</si>
  <si>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</si>
  <si>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</si>
  <si>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</si>
  <si>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</si>
  <si>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</si>
  <si>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</si>
  <si>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</si>
  <si>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</si>
  <si>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</si>
  <si>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</si>
  <si>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</si>
  <si>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</si>
  <si>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</si>
  <si>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</si>
  <si>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</si>
  <si>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</si>
  <si>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</si>
  <si>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</si>
  <si>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</si>
  <si>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</si>
  <si>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</si>
  <si>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</si>
  <si>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</si>
  <si>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</si>
  <si>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</si>
  <si>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</si>
  <si>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</si>
  <si>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</si>
  <si>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</si>
  <si>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</si>
  <si>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</si>
  <si>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</si>
  <si>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</si>
  <si>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</si>
  <si>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</si>
  <si>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</si>
  <si>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</si>
  <si>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</si>
  <si>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</si>
  <si>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</si>
  <si>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</si>
  <si>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</si>
  <si>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</si>
  <si>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</si>
  <si>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</si>
  <si>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</si>
  <si>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</si>
  <si>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</si>
  <si>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</si>
  <si>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</si>
  <si>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</si>
  <si>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</si>
  <si>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</si>
  <si>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</si>
  <si>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</si>
  <si>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</si>
  <si>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</si>
  <si>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</si>
  <si>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</si>
  <si>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</si>
  <si>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</si>
  <si>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</si>
  <si>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</si>
  <si>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</si>
  <si>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</si>
  <si>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</si>
  <si>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</si>
  <si>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</si>
  <si>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</si>
  <si>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</si>
  <si>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</si>
  <si>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</si>
  <si>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</si>
  <si>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</si>
  <si>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</si>
  <si>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</si>
  <si>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</si>
  <si>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</si>
  <si>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</si>
  <si>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</si>
  <si>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</si>
  <si>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</si>
  <si>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</si>
  <si>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</si>
  <si>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</si>
  <si>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</si>
  <si>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</si>
  <si>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</si>
  <si>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</si>
  <si>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</si>
  <si>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</si>
  <si>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</si>
  <si>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</si>
  <si>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</si>
  <si>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</si>
  <si>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</si>
  <si>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</si>
  <si>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</si>
  <si>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</si>
  <si>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</si>
  <si>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</si>
  <si>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</si>
  <si>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</si>
  <si>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</si>
  <si>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</si>
  <si>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</si>
  <si>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</si>
  <si>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</si>
  <si>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</si>
  <si>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</si>
  <si>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</si>
  <si>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</si>
  <si>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</si>
  <si>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</si>
  <si>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</si>
  <si>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</si>
  <si>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</si>
  <si>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</si>
  <si>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</si>
  <si>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</si>
  <si>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</si>
  <si>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</si>
  <si>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</si>
  <si>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</si>
  <si>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</si>
  <si>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</si>
  <si>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</si>
  <si>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</si>
  <si>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</si>
  <si>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</si>
  <si>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</si>
  <si>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</si>
  <si>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</si>
  <si>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</si>
  <si>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</si>
  <si>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</si>
  <si>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</si>
  <si>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</si>
  <si>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</si>
  <si>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</si>
  <si>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</si>
  <si>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</si>
  <si>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</si>
  <si>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</si>
  <si>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</si>
  <si>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</si>
  <si>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</si>
  <si>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</si>
  <si>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</si>
  <si>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</si>
  <si>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</si>
  <si>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</si>
  <si>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</si>
  <si>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</si>
  <si>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</si>
  <si>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</si>
  <si>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</si>
  <si>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</si>
  <si>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</si>
  <si>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</si>
  <si>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</si>
  <si>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</si>
  <si>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</si>
  <si>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</si>
  <si>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</si>
  <si>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</si>
  <si>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</si>
  <si>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</si>
  <si>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</si>
  <si>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</si>
  <si>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</si>
  <si>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</si>
  <si>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</si>
  <si>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</si>
  <si>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</si>
  <si>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</si>
  <si>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</si>
  <si>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</si>
  <si>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</si>
  <si>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</si>
  <si>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</si>
  <si>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</si>
  <si>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</si>
  <si>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</si>
  <si>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</si>
  <si>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</si>
  <si>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</si>
  <si>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</si>
  <si>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</si>
  <si>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</si>
  <si>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</si>
  <si>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</si>
  <si>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</si>
  <si>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</si>
  <si>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</si>
  <si>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</si>
  <si>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</si>
  <si>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</si>
  <si>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</si>
  <si>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</si>
  <si>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</si>
  <si>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</si>
  <si>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</si>
  <si>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</si>
  <si>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</si>
  <si>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</si>
  <si>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</si>
  <si>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</si>
  <si>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</si>
  <si>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</si>
  <si>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</si>
  <si>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</si>
  <si>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</si>
  <si>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</si>
  <si>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</si>
  <si>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</si>
  <si>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</si>
  <si>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</si>
  <si>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</si>
  <si>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</si>
  <si>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</si>
  <si>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</si>
  <si>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</si>
  <si>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</si>
  <si>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</si>
  <si>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</si>
  <si>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</si>
  <si>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</si>
  <si>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</si>
  <si>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</si>
  <si>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</si>
  <si>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</si>
  <si>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</si>
  <si>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</si>
  <si>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</si>
  <si>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</si>
  <si>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</si>
  <si>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</si>
  <si>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</si>
  <si>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</si>
  <si>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</si>
  <si>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</si>
  <si>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</si>
  <si>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</si>
  <si>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</si>
  <si>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</si>
  <si>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</si>
  <si>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</si>
  <si>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</si>
  <si>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</si>
  <si>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</si>
  <si>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</si>
  <si>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</si>
  <si>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</si>
  <si>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</si>
  <si>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</si>
  <si>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</si>
  <si>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</si>
  <si>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</si>
  <si>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</si>
  <si>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</si>
  <si>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</si>
  <si>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</si>
  <si>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</si>
  <si>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</si>
  <si>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</si>
  <si>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</si>
  <si>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</si>
  <si>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</si>
  <si>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</si>
  <si>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</si>
  <si>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</si>
  <si>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</si>
  <si>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</si>
  <si>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</si>
  <si>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</si>
  <si>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</si>
  <si>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</si>
  <si>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</si>
  <si>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</si>
  <si>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</si>
  <si>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</si>
  <si>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</si>
  <si>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</si>
  <si>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</si>
  <si>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</si>
  <si>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</si>
  <si>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</si>
  <si>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</si>
  <si>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</si>
  <si>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</si>
  <si>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</si>
  <si>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</si>
  <si>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</si>
  <si>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</si>
  <si>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</si>
  <si>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</si>
  <si>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</si>
  <si>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</si>
  <si>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</si>
  <si>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</si>
  <si>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</si>
  <si>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</si>
  <si>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</si>
  <si>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</si>
  <si>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</si>
  <si>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</si>
  <si>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</si>
  <si>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</si>
  <si>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</si>
  <si>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</si>
  <si>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</si>
  <si>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</si>
  <si>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</si>
  <si>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</si>
  <si>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</si>
  <si>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</si>
  <si>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</si>
  <si>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</si>
  <si>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</si>
  <si>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</si>
  <si>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</si>
  <si>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</si>
  <si>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</si>
  <si>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</si>
  <si>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</si>
  <si>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</si>
  <si>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</si>
  <si>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</si>
  <si>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</si>
  <si>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</si>
  <si>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</si>
  <si>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</si>
  <si>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</si>
  <si>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</si>
  <si>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</si>
  <si>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</si>
  <si>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</si>
  <si>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</si>
  <si>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</si>
  <si>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</si>
  <si>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</si>
  <si>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</si>
  <si>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</si>
  <si>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</si>
  <si>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</si>
  <si>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</si>
  <si>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</si>
  <si>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</si>
  <si>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</si>
  <si>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</si>
  <si>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</si>
  <si>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</si>
  <si>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</si>
  <si>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</si>
  <si>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</si>
  <si>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</si>
  <si>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</si>
  <si>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</si>
  <si>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</si>
  <si>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</si>
  <si>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</si>
  <si>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</si>
  <si>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</si>
  <si>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</si>
  <si>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</si>
  <si>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</si>
  <si>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</si>
  <si>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</si>
  <si>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</si>
  <si>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</si>
  <si>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</si>
  <si>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</si>
  <si>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</si>
  <si>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</si>
  <si>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</si>
  <si>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</si>
  <si>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</si>
  <si>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</si>
  <si>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</si>
  <si>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</si>
  <si>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</si>
  <si>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</si>
  <si>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</si>
  <si>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</si>
  <si>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</si>
  <si>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</si>
  <si>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</si>
  <si>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</si>
  <si>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</si>
  <si>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</si>
  <si>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</si>
  <si>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</si>
  <si>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</si>
  <si>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</si>
  <si>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</si>
  <si>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</si>
  <si>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</si>
  <si>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</si>
  <si>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</si>
  <si>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</si>
  <si>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</si>
  <si>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</si>
  <si>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</si>
  <si>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</si>
  <si>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</si>
  <si>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</si>
  <si>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</si>
  <si>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</si>
  <si>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</si>
  <si>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</si>
  <si>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</si>
  <si>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</si>
  <si>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</si>
  <si>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</si>
  <si>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</si>
  <si>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</si>
  <si>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</si>
  <si>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</si>
  <si>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</si>
  <si>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</si>
  <si>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</si>
  <si>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</si>
  <si>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</si>
  <si>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</si>
  <si>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</si>
  <si>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</si>
  <si>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</si>
  <si>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</si>
  <si>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</si>
  <si>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</si>
  <si>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</si>
  <si>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</si>
  <si>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</si>
  <si>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</si>
  <si>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</si>
  <si>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</si>
  <si>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</si>
  <si>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</si>
  <si>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</si>
  <si>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</si>
  <si>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</si>
  <si>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</si>
  <si>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</si>
  <si>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</si>
  <si>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</si>
  <si>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</si>
  <si>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</si>
  <si>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</si>
  <si>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</si>
  <si>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</si>
  <si>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</si>
  <si>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</si>
  <si>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</si>
  <si>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</si>
  <si>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</si>
  <si>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</si>
  <si>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</si>
  <si>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</si>
  <si>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</si>
  <si>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</si>
  <si>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</si>
  <si>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</si>
  <si>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</si>
  <si>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</si>
  <si>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</si>
  <si>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</si>
  <si>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</si>
  <si>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</si>
  <si>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</si>
  <si>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</si>
  <si>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</si>
  <si>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</si>
  <si>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</si>
  <si>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</si>
  <si>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</si>
  <si>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</si>
  <si>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</si>
  <si>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</si>
  <si>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</si>
  <si>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</si>
  <si>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</si>
  <si>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</si>
  <si>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</si>
  <si>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</si>
  <si>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</si>
  <si>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</si>
  <si>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</si>
  <si>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</si>
  <si>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</si>
  <si>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</si>
  <si>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</si>
  <si>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</si>
  <si>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</si>
  <si>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</si>
  <si>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</si>
  <si>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</si>
  <si>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</si>
  <si>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</si>
  <si>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</si>
  <si>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</si>
  <si>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</si>
  <si>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</si>
  <si>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</si>
  <si>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</si>
  <si>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</si>
  <si>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</si>
  <si>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</si>
  <si>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</si>
  <si>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</si>
  <si>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</si>
  <si>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</si>
  <si>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</si>
  <si>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</si>
  <si>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</si>
  <si>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</si>
  <si>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</si>
  <si>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</si>
  <si>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</si>
  <si>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</si>
  <si>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</si>
  <si>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</si>
  <si>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</si>
  <si>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</si>
  <si>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</si>
  <si>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</si>
  <si>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</si>
  <si>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</si>
  <si>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</si>
  <si>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</si>
  <si>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</si>
  <si>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</si>
  <si>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</si>
  <si>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</si>
  <si>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</si>
  <si>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</si>
  <si>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</si>
  <si>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</si>
  <si>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</si>
  <si>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</si>
  <si>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</si>
  <si>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</si>
  <si>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</si>
  <si>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</si>
  <si>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</si>
  <si>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</si>
  <si>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</si>
  <si>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</si>
  <si>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</si>
  <si>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</si>
  <si>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</si>
  <si>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</si>
  <si>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</si>
  <si>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</si>
  <si>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</si>
  <si>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</si>
  <si>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</si>
  <si>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</si>
  <si>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</si>
  <si>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</si>
  <si>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</si>
  <si>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</si>
  <si>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</si>
  <si>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</si>
  <si>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</si>
  <si>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</si>
  <si>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</si>
  <si>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</si>
  <si>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</si>
  <si>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</si>
  <si>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</si>
  <si>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</si>
  <si>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</si>
  <si>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</si>
  <si>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</si>
  <si>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</si>
  <si>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</si>
  <si>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</si>
  <si>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</si>
  <si>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</si>
  <si>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</si>
  <si>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</si>
  <si>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</si>
  <si>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</si>
  <si>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</si>
  <si>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</si>
  <si>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</si>
  <si>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</si>
  <si>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</si>
  <si>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</si>
  <si>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</si>
  <si>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</si>
  <si>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</si>
  <si>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</si>
  <si>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</si>
  <si>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</si>
  <si>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</si>
  <si>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</si>
  <si>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</si>
  <si>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</si>
  <si>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</si>
  <si>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</si>
  <si>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</si>
  <si>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</si>
  <si>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</si>
  <si>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</si>
  <si>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</si>
  <si>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</si>
  <si>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</si>
  <si>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</si>
  <si>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</si>
  <si>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</si>
  <si>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</si>
  <si>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</si>
  <si>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</si>
  <si>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</si>
  <si>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</si>
  <si>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</si>
  <si>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</si>
  <si>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</si>
  <si>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</si>
  <si>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</si>
  <si>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</si>
  <si>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</si>
  <si>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</si>
  <si>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</si>
  <si>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</si>
  <si>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</si>
  <si>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</si>
  <si>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</si>
  <si>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</si>
  <si>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</si>
  <si>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</si>
  <si>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</si>
  <si>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</si>
  <si>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</si>
  <si>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</si>
  <si>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</si>
  <si>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</si>
  <si>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</si>
  <si>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</si>
  <si>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</si>
  <si>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</si>
  <si>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</si>
  <si>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</si>
  <si>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</si>
  <si>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</si>
  <si>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</si>
  <si>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</si>
  <si>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</si>
  <si>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</si>
  <si>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</si>
  <si>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</si>
  <si>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</si>
  <si>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</si>
  <si>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</si>
  <si>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</si>
  <si>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</si>
  <si>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</si>
  <si>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</si>
  <si>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</si>
  <si>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</si>
  <si>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</si>
  <si>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</si>
  <si>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</si>
  <si>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</si>
  <si>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</si>
  <si>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</si>
  <si>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</si>
  <si>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</si>
  <si>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</si>
  <si>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</si>
  <si>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</si>
  <si>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</si>
  <si>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</si>
  <si>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</si>
  <si>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</si>
  <si>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</si>
  <si>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</si>
  <si>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</si>
  <si>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</si>
  <si>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</si>
  <si>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</si>
  <si>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</si>
  <si>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</si>
  <si>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</si>
  <si>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</si>
  <si>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</si>
  <si>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</si>
  <si>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</si>
  <si>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</si>
  <si>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</si>
  <si>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</si>
  <si>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</si>
  <si>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</si>
  <si>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</si>
  <si>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</si>
  <si>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</si>
  <si>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</si>
  <si>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</si>
  <si>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</si>
  <si>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</si>
  <si>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</si>
  <si>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</si>
  <si>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</si>
  <si>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</si>
  <si>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</si>
  <si>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</si>
  <si>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</si>
  <si>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</si>
  <si>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</si>
  <si>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</si>
  <si>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</si>
  <si>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</si>
  <si>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</si>
  <si>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</si>
  <si>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</si>
  <si>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</si>
  <si>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</si>
  <si>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</si>
  <si>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</si>
  <si>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</si>
  <si>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</si>
  <si>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</si>
  <si>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</si>
  <si>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</si>
  <si>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</si>
  <si>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</si>
  <si>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</si>
  <si>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</si>
  <si>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</si>
  <si>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</si>
  <si>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</si>
  <si>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</si>
  <si>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</si>
  <si>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</si>
  <si>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</si>
  <si>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</si>
  <si>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</si>
  <si>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</si>
  <si>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</si>
  <si>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</si>
  <si>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</si>
  <si>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</si>
  <si>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</si>
  <si>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</si>
  <si>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</si>
  <si>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</si>
  <si>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</si>
  <si>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</si>
  <si>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</si>
  <si>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</si>
  <si>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</si>
  <si>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</si>
  <si>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</si>
  <si>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</si>
  <si>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</si>
  <si>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</si>
  <si>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</si>
  <si>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</si>
  <si>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</si>
  <si>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</si>
  <si>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</si>
  <si>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</si>
  <si>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</si>
  <si>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</si>
  <si>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</si>
  <si>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</si>
  <si>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</si>
  <si>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</si>
  <si>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</si>
  <si>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</si>
  <si>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</si>
  <si>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</si>
  <si>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</si>
  <si>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</si>
  <si>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</si>
  <si>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</si>
  <si>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</si>
  <si>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</si>
  <si>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</si>
  <si>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</si>
  <si>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</si>
  <si>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</si>
  <si>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</si>
  <si>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</si>
  <si>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</si>
  <si>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</si>
  <si>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</si>
  <si>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</si>
  <si>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</si>
  <si>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</si>
  <si>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</si>
  <si>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</si>
  <si>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</si>
  <si>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</si>
  <si>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</si>
  <si>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</si>
  <si>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</si>
  <si>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</si>
  <si>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</si>
  <si>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</si>
  <si>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</si>
  <si>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</si>
  <si>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</si>
  <si>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</si>
  <si>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</si>
  <si>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</si>
  <si>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</si>
  <si>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</si>
  <si>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</si>
  <si>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</si>
  <si>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</si>
  <si>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</si>
  <si>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</si>
  <si>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</si>
  <si>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</si>
  <si>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</si>
  <si>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</si>
  <si>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</si>
  <si>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</si>
  <si>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</si>
  <si>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</si>
  <si>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</si>
  <si>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</si>
  <si>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</si>
  <si>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</si>
  <si>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</si>
  <si>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</si>
  <si>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</si>
  <si>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</si>
  <si>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</si>
  <si>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</si>
  <si>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</si>
  <si>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</si>
  <si>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</si>
  <si>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</si>
  <si>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</si>
  <si>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</si>
  <si>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</si>
  <si>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</si>
  <si>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</si>
  <si>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</si>
  <si>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</si>
  <si>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</si>
  <si>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</si>
  <si>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</si>
  <si>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</si>
  <si>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</si>
  <si>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</si>
  <si>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</si>
  <si>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</si>
  <si>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</si>
  <si>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</si>
  <si>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</si>
  <si>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</si>
  <si>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</si>
  <si>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</si>
  <si>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</si>
  <si>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</si>
  <si>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</si>
  <si>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</si>
  <si>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</si>
  <si>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</si>
  <si>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</si>
  <si>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</si>
  <si>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</si>
  <si>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</si>
  <si>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</si>
  <si>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</si>
  <si>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</si>
  <si>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</si>
  <si>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</si>
  <si>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</si>
  <si>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</si>
  <si>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</si>
  <si>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</si>
  <si>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</si>
  <si>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</si>
  <si>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</si>
  <si>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</si>
  <si>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</si>
  <si>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</si>
  <si>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</si>
  <si>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</si>
  <si>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</si>
  <si>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</si>
  <si>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</si>
  <si>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</si>
  <si>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</si>
  <si>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</si>
  <si>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</si>
  <si>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</si>
  <si>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</si>
  <si>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</si>
  <si>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</si>
  <si>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</si>
  <si>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</si>
  <si>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</si>
  <si>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</si>
  <si>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</si>
  <si>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</si>
  <si>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</si>
  <si>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</si>
  <si>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</si>
  <si>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</si>
  <si>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</si>
  <si>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</si>
  <si>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</si>
  <si>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</si>
  <si>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</si>
  <si>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</si>
  <si>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</si>
  <si>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</si>
  <si>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</si>
  <si>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</si>
  <si>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</si>
  <si>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</si>
  <si>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</si>
  <si>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</si>
  <si>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</si>
  <si>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</si>
  <si>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</si>
  <si>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</si>
  <si>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</si>
  <si>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</si>
  <si>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</si>
  <si>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</si>
  <si>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</si>
  <si>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</si>
  <si>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</si>
  <si>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</si>
  <si>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</si>
  <si>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</si>
  <si>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</si>
  <si>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</si>
  <si>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</si>
  <si>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</si>
  <si>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</si>
  <si>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</si>
  <si>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</si>
  <si>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</si>
  <si>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</si>
  <si>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</si>
  <si>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</si>
  <si>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</si>
  <si>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</si>
  <si>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</si>
  <si>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</si>
  <si>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</si>
  <si>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</si>
  <si>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</si>
  <si>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</si>
  <si>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</si>
  <si>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</si>
  <si>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</si>
  <si>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</si>
  <si>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</si>
  <si>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</si>
  <si>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</si>
  <si>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</si>
  <si>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</si>
  <si>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</si>
  <si>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</si>
  <si>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</si>
  <si>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</si>
  <si>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</si>
  <si>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</si>
  <si>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</si>
  <si>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</si>
  <si>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</si>
  <si>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</si>
  <si>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</si>
  <si>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</si>
  <si>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</si>
  <si>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</si>
  <si>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</si>
  <si>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</si>
  <si>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</si>
  <si>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</si>
  <si>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</si>
  <si>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</si>
  <si>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</si>
  <si>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</si>
  <si>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</si>
  <si>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</si>
  <si>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</si>
  <si>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</si>
  <si>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</si>
  <si>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</si>
  <si>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</si>
  <si>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</si>
  <si>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</si>
  <si>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</si>
  <si>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</si>
  <si>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</si>
  <si>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</si>
  <si>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</si>
  <si>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</si>
  <si>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</si>
  <si>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</si>
  <si>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</si>
  <si>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</si>
  <si>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</si>
  <si>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</si>
  <si>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</si>
  <si>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</si>
  <si>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</si>
  <si>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</si>
  <si>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</si>
  <si>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</si>
  <si>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</si>
  <si>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</si>
  <si>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</si>
  <si>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</si>
  <si>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</si>
  <si>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</si>
  <si>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</si>
  <si>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</si>
  <si>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</si>
  <si>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</si>
  <si>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</si>
  <si>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</si>
  <si>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</si>
  <si>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</si>
  <si>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</si>
  <si>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</si>
  <si>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</si>
  <si>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</si>
  <si>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</si>
  <si>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</si>
  <si>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</si>
  <si>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</si>
  <si>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</si>
  <si>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</si>
  <si>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</si>
  <si>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</si>
  <si>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</si>
  <si>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</si>
  <si>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</si>
  <si>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</si>
  <si>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</si>
  <si>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</si>
  <si>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</si>
  <si>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</si>
  <si>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</si>
  <si>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</si>
  <si>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</si>
  <si>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</si>
  <si>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</si>
  <si>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</si>
  <si>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</si>
  <si>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</si>
  <si>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</si>
  <si>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</si>
  <si>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</si>
  <si>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</si>
  <si>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</si>
  <si>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</si>
  <si>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</si>
  <si>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</si>
  <si>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</si>
  <si>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</si>
  <si>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</si>
  <si>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</si>
  <si>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</si>
  <si>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</si>
  <si>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</si>
  <si>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</si>
  <si>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</si>
  <si>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</si>
  <si>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</si>
  <si>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</si>
  <si>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</si>
  <si>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</si>
  <si>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</si>
  <si>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</si>
  <si>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</si>
  <si>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</si>
  <si>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</si>
  <si>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</si>
  <si>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</si>
  <si>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</si>
  <si>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</si>
  <si>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</si>
  <si>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</si>
  <si>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</si>
  <si>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</si>
  <si>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</si>
  <si>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</si>
  <si>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</si>
  <si>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</si>
  <si>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</si>
  <si>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</si>
  <si>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</si>
  <si>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</si>
  <si>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</si>
  <si>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</si>
  <si>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</si>
  <si>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</si>
  <si>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</si>
  <si>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</si>
  <si>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</si>
  <si>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</si>
  <si>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</si>
  <si>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</si>
  <si>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</si>
  <si>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</si>
  <si>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</si>
  <si>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</si>
  <si>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</si>
  <si>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</si>
  <si>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</si>
  <si>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</si>
  <si>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</si>
  <si>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</si>
  <si>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</si>
  <si>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</si>
  <si>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</si>
  <si>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</si>
  <si>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</si>
  <si>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</si>
  <si>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</si>
  <si>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</si>
  <si>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</si>
  <si>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</si>
  <si>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</si>
  <si>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</si>
  <si>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</si>
  <si>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</si>
  <si>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</si>
  <si>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</si>
  <si>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</si>
  <si>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</si>
  <si>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</si>
  <si>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</si>
  <si>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</si>
  <si>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</si>
  <si>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</si>
  <si>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</si>
  <si>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</si>
  <si>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</si>
  <si>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</si>
  <si>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</si>
  <si>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</si>
  <si>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</si>
  <si>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</si>
  <si>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</si>
  <si>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</si>
  <si>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</si>
  <si>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</si>
  <si>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</si>
  <si>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</si>
  <si>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</si>
  <si>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</si>
  <si>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</si>
  <si>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</si>
  <si>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</si>
  <si>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</si>
  <si>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</si>
  <si>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</si>
  <si>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</si>
  <si>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</si>
  <si>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</si>
  <si>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</si>
  <si>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</si>
  <si>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</si>
  <si>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</si>
  <si>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</si>
  <si>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</si>
  <si>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</si>
  <si>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</si>
  <si>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</si>
  <si>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</si>
  <si>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</si>
  <si>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</si>
  <si>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</si>
  <si>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</si>
  <si>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</si>
  <si>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</si>
  <si>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</si>
  <si>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</si>
  <si>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</si>
  <si>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</si>
  <si>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</si>
  <si>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</si>
  <si>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</si>
  <si>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</si>
  <si>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</si>
  <si>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</si>
  <si>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</si>
  <si>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</si>
  <si>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</si>
  <si>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</si>
  <si>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</si>
  <si>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</si>
  <si>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</si>
  <si>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</si>
  <si>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</si>
  <si>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</si>
  <si>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</si>
  <si>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</si>
  <si>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</si>
  <si>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</si>
  <si>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</si>
  <si>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</si>
  <si>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</si>
  <si>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</si>
  <si>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</si>
  <si>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</si>
  <si>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</si>
  <si>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</si>
  <si>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</si>
  <si>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</si>
  <si>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</si>
  <si>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</si>
  <si>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</si>
  <si>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</si>
  <si>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</si>
  <si>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</si>
  <si>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</si>
  <si>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</si>
  <si>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</si>
  <si>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</si>
  <si>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</si>
  <si>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</si>
  <si>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</si>
  <si>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</si>
  <si>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</si>
  <si>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</si>
  <si>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</si>
  <si>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</si>
  <si>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</si>
  <si>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</si>
  <si>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</si>
  <si>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</si>
  <si>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</si>
  <si>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</si>
  <si>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</si>
  <si>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</si>
  <si>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</si>
  <si>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</si>
  <si>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</si>
  <si>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</si>
  <si>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</si>
  <si>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</si>
  <si>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</si>
  <si>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</si>
  <si>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</si>
  <si>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</si>
  <si>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</si>
  <si>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</si>
  <si>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</si>
  <si>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</si>
  <si>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</si>
  <si>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</si>
  <si>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</si>
  <si>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</si>
  <si>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</si>
  <si>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</si>
  <si>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</si>
  <si>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</si>
  <si>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</si>
  <si>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</si>
  <si>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</si>
  <si>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</si>
  <si>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</si>
  <si>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</si>
  <si>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</si>
  <si>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</si>
  <si>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</si>
  <si>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</si>
  <si>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</si>
  <si>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</si>
  <si>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</si>
  <si>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</si>
  <si>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</si>
  <si>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</si>
  <si>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</si>
  <si>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</si>
  <si>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</si>
  <si>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</si>
  <si>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</si>
  <si>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</si>
  <si>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</si>
  <si>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</si>
  <si>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</si>
  <si>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</si>
  <si>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</si>
  <si>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</si>
  <si>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</si>
  <si>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</si>
  <si>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</si>
  <si>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</si>
  <si>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</si>
  <si>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</si>
  <si>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</si>
  <si>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</si>
  <si>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</si>
  <si>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</si>
  <si>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</si>
  <si>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</si>
  <si>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</si>
  <si>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</si>
  <si>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</si>
  <si>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</si>
  <si>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</si>
  <si>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</si>
  <si>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</si>
  <si>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</si>
  <si>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</si>
  <si>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</si>
  <si>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</si>
  <si>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</si>
  <si>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</si>
  <si>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</si>
  <si>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</si>
  <si>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</si>
  <si>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</si>
  <si>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</si>
  <si>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</si>
  <si>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</si>
  <si>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</si>
  <si>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</si>
  <si>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</si>
  <si>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</si>
  <si>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</si>
  <si>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</si>
  <si>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</si>
  <si>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</si>
  <si>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</si>
  <si>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</si>
  <si>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</si>
  <si>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</si>
  <si>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</si>
  <si>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</si>
  <si>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</si>
  <si>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</si>
  <si>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</si>
  <si>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</si>
  <si>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</si>
  <si>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</si>
  <si>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</si>
  <si>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</si>
  <si>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</si>
  <si>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</si>
  <si>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</si>
  <si>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</si>
  <si>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</si>
  <si>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</si>
  <si>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</si>
  <si>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</si>
  <si>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</si>
  <si>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</si>
  <si>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</si>
  <si>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</si>
  <si>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</si>
  <si>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</si>
  <si>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</si>
  <si>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</si>
  <si>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</si>
  <si>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</si>
  <si>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</si>
  <si>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</si>
  <si>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</si>
  <si>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</si>
  <si>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</si>
  <si>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</si>
  <si>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</si>
  <si>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</si>
  <si>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</si>
  <si>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</si>
  <si>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</si>
  <si>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</si>
  <si>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</si>
  <si>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</si>
  <si>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</si>
  <si>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</si>
  <si>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</si>
  <si>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</si>
  <si>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</si>
  <si>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</si>
  <si>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</si>
  <si>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</si>
  <si>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</si>
  <si>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</si>
  <si>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</si>
  <si>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</si>
  <si>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</si>
  <si>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</si>
  <si>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</si>
  <si>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</si>
  <si>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</si>
  <si>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</si>
  <si>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</si>
  <si>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</si>
  <si>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</si>
  <si>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</si>
  <si>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</si>
  <si>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</si>
  <si>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</si>
  <si>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</si>
  <si>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</si>
  <si>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</si>
  <si>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</si>
  <si>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</si>
  <si>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</si>
  <si>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</si>
  <si>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</si>
  <si>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</si>
  <si>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</si>
  <si>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</si>
  <si>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</si>
  <si>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</si>
  <si>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</si>
  <si>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</si>
  <si>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</si>
  <si>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</si>
  <si>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</si>
  <si>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</si>
  <si>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</si>
  <si>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</si>
  <si>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</si>
  <si>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</si>
  <si>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</si>
  <si>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</si>
  <si>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</si>
  <si>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</si>
  <si>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</si>
  <si>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</si>
  <si>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</si>
  <si>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</si>
  <si>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</si>
  <si>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</si>
  <si>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</si>
  <si>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</si>
  <si>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</si>
  <si>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</si>
  <si>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</si>
  <si>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</si>
  <si>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</si>
  <si>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</si>
  <si>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</si>
  <si>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</si>
  <si>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</si>
  <si>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</si>
  <si>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</si>
  <si>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</si>
  <si>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</si>
  <si>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</si>
  <si>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</si>
  <si>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</si>
  <si>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</si>
  <si>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</si>
  <si>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</si>
  <si>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</si>
  <si>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</si>
  <si>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</si>
  <si>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</si>
  <si>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</si>
  <si>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</si>
  <si>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</si>
  <si>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</si>
  <si>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</si>
  <si>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</si>
  <si>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</si>
  <si>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</si>
  <si>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</si>
  <si>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</si>
  <si>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</si>
  <si>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</si>
  <si>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</si>
  <si>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</si>
  <si>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</si>
  <si>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</si>
  <si>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</si>
  <si>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</si>
  <si>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</si>
  <si>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</si>
  <si>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</si>
  <si>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</si>
  <si>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</si>
  <si>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</si>
  <si>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</si>
  <si>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</si>
  <si>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</si>
  <si>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</si>
  <si>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</si>
  <si>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</si>
  <si>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</si>
  <si>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</si>
  <si>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</si>
  <si>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</si>
  <si>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</si>
  <si>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</si>
  <si>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</si>
  <si>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</si>
  <si>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</si>
  <si>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</si>
  <si>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</si>
  <si>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</si>
  <si>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</si>
  <si>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</si>
  <si>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</si>
  <si>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</si>
  <si>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</si>
  <si>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</si>
  <si>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</si>
  <si>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</si>
  <si>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</si>
  <si>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</si>
  <si>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</si>
  <si>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</si>
  <si>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</si>
  <si>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</si>
  <si>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</si>
  <si>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</si>
  <si>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</si>
  <si>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</si>
  <si>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</si>
  <si>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</si>
  <si>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</si>
  <si>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</si>
  <si>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</si>
  <si>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</si>
  <si>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</si>
  <si>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</si>
  <si>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</si>
  <si>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</si>
  <si>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</si>
  <si>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</si>
  <si>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</si>
  <si>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</si>
  <si>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</si>
  <si>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</si>
  <si>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</si>
  <si>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</si>
  <si>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</si>
  <si>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</si>
  <si>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</si>
  <si>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</si>
  <si>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</si>
  <si>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</si>
  <si>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</si>
  <si>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</si>
  <si>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</si>
  <si>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</si>
  <si>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</si>
  <si>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</si>
  <si>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</si>
  <si>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</si>
  <si>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</si>
  <si>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</si>
  <si>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</si>
  <si>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</si>
  <si>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</si>
  <si>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</si>
  <si>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</si>
  <si>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</si>
  <si>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</si>
  <si>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</si>
  <si>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</si>
  <si>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</si>
  <si>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</si>
  <si>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</si>
  <si>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</si>
  <si>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</si>
  <si>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</si>
  <si>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</si>
  <si>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</si>
  <si>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</si>
  <si>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</si>
  <si>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</si>
  <si>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</si>
  <si>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</si>
  <si>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</si>
  <si>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</si>
  <si>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</si>
  <si>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</si>
  <si>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</si>
  <si>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</si>
  <si>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</si>
  <si>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</si>
  <si>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</si>
  <si>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</si>
  <si>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</si>
  <si>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</si>
  <si>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</si>
  <si>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</si>
  <si>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</si>
  <si>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</si>
  <si>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</si>
  <si>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</si>
  <si>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</si>
  <si>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</si>
  <si>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</si>
  <si>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</si>
  <si>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</si>
  <si>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</si>
  <si>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</si>
  <si>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</si>
  <si>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</si>
  <si>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</si>
  <si>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</si>
  <si>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</si>
  <si>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</si>
  <si>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</si>
  <si>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</si>
  <si>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</si>
  <si>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</si>
  <si>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</si>
  <si>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</si>
  <si>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</si>
  <si>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</si>
  <si>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</si>
  <si>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</si>
  <si>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</si>
  <si>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</si>
  <si>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</si>
  <si>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</si>
  <si>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</si>
  <si>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</si>
  <si>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</si>
  <si>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</si>
  <si>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</si>
  <si>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</si>
  <si>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</si>
  <si>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</si>
  <si>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</si>
  <si>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</si>
  <si>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</si>
  <si>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</si>
  <si>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</si>
  <si>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</si>
  <si>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</si>
  <si>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</si>
  <si>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</si>
  <si>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</si>
  <si>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</si>
  <si>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</si>
  <si>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</si>
  <si>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</si>
  <si>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</si>
  <si>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</si>
  <si>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</si>
  <si>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</si>
  <si>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</si>
  <si>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</si>
  <si>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</si>
  <si>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</si>
  <si>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</si>
  <si>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</si>
  <si>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</si>
  <si>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</si>
  <si>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</si>
  <si>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</si>
  <si>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</si>
  <si>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</si>
  <si>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</si>
  <si>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</si>
  <si>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</si>
  <si>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</si>
  <si>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</si>
  <si>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</si>
  <si>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</si>
  <si>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</si>
  <si>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</si>
  <si>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</si>
  <si>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</si>
  <si>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</si>
  <si>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</si>
  <si>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</si>
  <si>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</si>
  <si>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</si>
  <si>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</si>
  <si>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</si>
  <si>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</si>
  <si>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</si>
  <si>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</si>
  <si>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</si>
  <si>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</si>
  <si>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</si>
  <si>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</si>
  <si>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</si>
  <si>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</si>
  <si>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</si>
  <si>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</si>
  <si>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</si>
  <si>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</si>
  <si>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</si>
  <si>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</si>
  <si>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</si>
  <si>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</si>
  <si>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</si>
  <si>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</si>
  <si>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</si>
  <si>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</si>
  <si>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</si>
  <si>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</si>
  <si>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</si>
  <si>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</si>
  <si>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</si>
  <si>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</si>
  <si>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</si>
  <si>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</si>
  <si>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</si>
  <si>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</si>
  <si>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</si>
  <si>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</si>
  <si>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</si>
  <si>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</si>
  <si>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</si>
  <si>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</si>
  <si>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</si>
  <si>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</si>
  <si>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</si>
  <si>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</si>
  <si>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</si>
  <si>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</si>
  <si>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</si>
  <si>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</si>
  <si>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</si>
  <si>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</si>
  <si>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</si>
  <si>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</si>
  <si>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</si>
  <si>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</si>
  <si>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</si>
  <si>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</si>
  <si>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</si>
  <si>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</si>
  <si>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</si>
  <si>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</si>
  <si>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</si>
  <si>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</si>
  <si>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</si>
  <si>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</si>
  <si>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</si>
  <si>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</si>
  <si>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</si>
  <si>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</si>
  <si>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</si>
  <si>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</si>
  <si>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</si>
  <si>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</si>
  <si>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</si>
  <si>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</si>
  <si>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</si>
  <si>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</si>
  <si>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</si>
  <si>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</si>
  <si>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</si>
  <si>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</si>
  <si>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</si>
  <si>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</si>
  <si>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</si>
  <si>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</si>
  <si>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</si>
  <si>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</si>
  <si>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</si>
  <si>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</si>
  <si>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</si>
  <si>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</si>
  <si>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</si>
  <si>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</si>
  <si>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</si>
  <si>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</si>
  <si>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</si>
  <si>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</si>
  <si>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</si>
  <si>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</si>
  <si>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</si>
  <si>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</si>
  <si>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</si>
  <si>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</si>
  <si>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</si>
  <si>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</si>
  <si>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</si>
  <si>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</si>
  <si>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</si>
  <si>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</si>
  <si>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</si>
  <si>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</si>
  <si>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</si>
  <si>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</si>
  <si>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</si>
  <si>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</si>
  <si>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</si>
  <si>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</si>
  <si>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</si>
  <si>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</si>
  <si>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</si>
  <si>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</si>
  <si>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</si>
  <si>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</si>
  <si>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</si>
  <si>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</si>
  <si>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</si>
  <si>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</si>
  <si>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</si>
  <si>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</si>
  <si>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</si>
  <si>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</si>
  <si>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</si>
  <si>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</si>
  <si>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</si>
  <si>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</si>
  <si>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</si>
  <si>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</si>
  <si>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</si>
  <si>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</si>
  <si>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</si>
  <si>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</si>
  <si>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</si>
  <si>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</si>
  <si>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</si>
  <si>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</si>
  <si>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</si>
  <si>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</si>
  <si>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</si>
  <si>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</si>
  <si>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</si>
  <si>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</si>
  <si>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</si>
  <si>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</si>
  <si>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</si>
  <si>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</si>
  <si>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</si>
  <si>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</si>
  <si>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</si>
  <si>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</si>
  <si>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</si>
  <si>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</si>
  <si>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</si>
  <si>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</si>
  <si>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</si>
  <si>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</si>
  <si>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</si>
  <si>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</si>
  <si>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</si>
  <si>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</si>
  <si>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</si>
  <si>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</si>
  <si>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</si>
  <si>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</si>
  <si>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</si>
  <si>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</si>
  <si>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</si>
  <si>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</si>
  <si>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</si>
  <si>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</si>
  <si>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</si>
  <si>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</si>
  <si>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</si>
  <si>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</si>
  <si>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</si>
  <si>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</si>
  <si>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</si>
  <si>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</si>
  <si>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</si>
  <si>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</si>
  <si>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</si>
  <si>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</si>
  <si>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</si>
  <si>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</si>
  <si>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</si>
  <si>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</si>
  <si>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</si>
  <si>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</si>
  <si>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</si>
  <si>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</si>
  <si>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</si>
  <si>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</si>
  <si>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</si>
  <si>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</si>
  <si>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</si>
  <si>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</si>
  <si>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</si>
  <si>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</si>
  <si>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</si>
  <si>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</si>
  <si>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</si>
  <si>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</si>
  <si>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</si>
  <si>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</si>
  <si>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</si>
  <si>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</si>
  <si>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</si>
  <si>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</si>
  <si>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</si>
  <si>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</si>
  <si>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</si>
  <si>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</si>
  <si>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</si>
  <si>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</si>
  <si>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</si>
  <si>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</si>
  <si>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</si>
  <si>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</si>
  <si>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</si>
  <si>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</si>
  <si>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</si>
  <si>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</si>
  <si>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</si>
  <si>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</si>
  <si>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</si>
  <si>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</si>
  <si>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</si>
  <si>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</si>
  <si>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</si>
  <si>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</si>
  <si>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</si>
  <si>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</si>
  <si>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</si>
  <si>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</si>
  <si>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</si>
  <si>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</si>
  <si>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</si>
  <si>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</si>
  <si>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</si>
  <si>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</si>
  <si>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</si>
  <si>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</si>
  <si>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</si>
  <si>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</si>
  <si>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</si>
  <si>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</si>
  <si>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</si>
  <si>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</si>
  <si>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</si>
  <si>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</si>
  <si>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</si>
  <si>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</si>
  <si>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</si>
  <si>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</si>
  <si>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</si>
  <si>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</si>
  <si>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</si>
  <si>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</si>
  <si>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</si>
  <si>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</si>
  <si>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</si>
  <si>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</si>
  <si>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</si>
  <si>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</si>
  <si>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</si>
  <si>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</si>
  <si>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</si>
  <si>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</si>
  <si>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</si>
  <si>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</si>
  <si>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</si>
  <si>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</si>
  <si>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</si>
  <si>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</si>
  <si>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</si>
  <si>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</si>
  <si>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</si>
  <si>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</si>
  <si>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</si>
  <si>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</si>
  <si>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</si>
  <si>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</si>
  <si>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</si>
  <si>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</si>
  <si>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</si>
  <si>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</si>
  <si>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</si>
  <si>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</si>
  <si>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</si>
  <si>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</si>
  <si>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</si>
  <si>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</si>
  <si>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</si>
  <si>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</si>
  <si>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</si>
  <si>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</si>
  <si>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</si>
  <si>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</si>
  <si>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</si>
  <si>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</si>
  <si>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</si>
  <si>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</si>
  <si>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</si>
  <si>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</si>
  <si>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</si>
  <si>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</si>
  <si>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</si>
  <si>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</si>
  <si>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</si>
  <si>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</si>
  <si>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</si>
  <si>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</si>
  <si>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</si>
  <si>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</si>
  <si>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</si>
  <si>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</si>
  <si>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</si>
  <si>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</si>
  <si>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</si>
  <si>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</si>
  <si>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</si>
  <si>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</si>
  <si>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</si>
  <si>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</si>
  <si>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</si>
  <si>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</si>
  <si>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</si>
  <si>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</si>
  <si>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</si>
  <si>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</si>
  <si>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</si>
  <si>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</si>
  <si>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</si>
  <si>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</si>
  <si>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</si>
  <si>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</si>
  <si>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</si>
  <si>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</si>
  <si>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</si>
  <si>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</si>
  <si>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</si>
  <si>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</si>
  <si>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</si>
  <si>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</si>
  <si>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</si>
  <si>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</si>
  <si>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</si>
  <si>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</si>
  <si>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</si>
  <si>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</si>
  <si>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</si>
  <si>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</si>
  <si>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</si>
  <si>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</si>
  <si>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</si>
  <si>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</si>
  <si>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</si>
  <si>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</si>
  <si>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</si>
  <si>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</si>
  <si>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</si>
  <si>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</si>
  <si>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</si>
  <si>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</si>
  <si>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</si>
  <si>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</si>
  <si>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</si>
  <si>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</si>
  <si>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</si>
  <si>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</si>
  <si>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</si>
  <si>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</si>
  <si>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</si>
  <si>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</si>
  <si>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</si>
  <si>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</si>
  <si>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</si>
  <si>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</si>
  <si>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</si>
  <si>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</si>
  <si>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</si>
  <si>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</si>
  <si>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</si>
  <si>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</si>
  <si>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</si>
  <si>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</si>
  <si>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</si>
  <si>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</si>
  <si>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</si>
  <si>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</si>
  <si>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</si>
  <si>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</si>
  <si>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</si>
  <si>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</si>
  <si>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</si>
  <si>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</si>
  <si>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</si>
  <si>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</si>
  <si>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</si>
  <si>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</si>
  <si>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</si>
  <si>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</si>
  <si>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</si>
  <si>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</si>
  <si>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</si>
  <si>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</si>
  <si>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</si>
  <si>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</si>
  <si>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</si>
  <si>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</si>
  <si>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</si>
  <si>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</si>
  <si>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</si>
  <si>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</si>
  <si>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</si>
  <si>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</si>
  <si>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</si>
  <si>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</si>
  <si>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</si>
  <si>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</si>
  <si>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</si>
  <si>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</si>
  <si>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</si>
  <si>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</si>
  <si>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</si>
  <si>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</si>
  <si>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</si>
  <si>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</si>
  <si>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</si>
  <si>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</si>
  <si>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</si>
  <si>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</si>
  <si>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</si>
  <si>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</si>
  <si>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</si>
  <si>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</si>
  <si>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</si>
  <si>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</si>
  <si>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</si>
  <si>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</si>
  <si>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</si>
  <si>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</si>
  <si>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</si>
  <si>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</si>
  <si>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</si>
  <si>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</si>
  <si>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</si>
  <si>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</si>
  <si>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</si>
  <si>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</si>
  <si>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</si>
  <si>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</si>
  <si>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</si>
  <si>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</si>
  <si>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</si>
  <si>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</si>
  <si>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</si>
  <si>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</si>
  <si>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</si>
  <si>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</si>
  <si>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</si>
  <si>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</si>
  <si>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</si>
  <si>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</si>
  <si>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</si>
  <si>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</si>
  <si>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</si>
  <si>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</si>
  <si>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</si>
  <si>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</si>
  <si>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</si>
  <si>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</si>
  <si>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</si>
  <si>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</si>
  <si>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</si>
  <si>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</si>
  <si>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</si>
  <si>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</si>
  <si>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</si>
  <si>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</si>
  <si>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</si>
  <si>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</si>
  <si>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</si>
  <si>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</si>
  <si>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</si>
  <si>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</si>
  <si>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</si>
  <si>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</si>
  <si>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</si>
  <si>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</si>
  <si>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</si>
  <si>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</si>
  <si>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</si>
  <si>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</si>
  <si>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</si>
  <si>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</si>
  <si>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</si>
  <si>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</si>
  <si>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</si>
  <si>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</si>
  <si>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</si>
  <si>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</si>
  <si>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</si>
  <si>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</si>
  <si>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</si>
  <si>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</si>
  <si>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</si>
  <si>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</si>
  <si>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</si>
  <si>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</si>
  <si>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</si>
  <si>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</si>
  <si>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</si>
  <si>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</si>
  <si>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</si>
  <si>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</si>
  <si>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</si>
  <si>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</si>
  <si>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</si>
  <si>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</si>
  <si>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</si>
  <si>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</si>
  <si>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</si>
  <si>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</si>
  <si>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</si>
  <si>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</si>
  <si>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</si>
  <si>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</si>
  <si>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</si>
  <si>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</si>
  <si>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</si>
  <si>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</si>
  <si>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</si>
  <si>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</si>
  <si>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</si>
  <si>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</si>
  <si>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</si>
  <si>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</si>
  <si>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</si>
  <si>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</si>
  <si>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</si>
  <si>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</si>
  <si>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</si>
  <si>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</si>
  <si>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</si>
  <si>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</si>
  <si>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</si>
  <si>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</si>
  <si>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</si>
  <si>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</si>
  <si>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</si>
  <si>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</si>
  <si>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</si>
  <si>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</si>
  <si>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</si>
  <si>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</si>
  <si>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</si>
  <si>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</si>
  <si>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</si>
  <si>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</si>
  <si>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</si>
  <si>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</si>
  <si>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</si>
  <si>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</si>
  <si>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</si>
  <si>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</si>
  <si>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</si>
  <si>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</si>
  <si>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</si>
  <si>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</si>
  <si>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</si>
  <si>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</si>
  <si>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</si>
  <si>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</si>
  <si>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</si>
  <si>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</si>
  <si>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</si>
  <si>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</si>
  <si>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</si>
  <si>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</si>
  <si>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</si>
  <si>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</si>
  <si>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</si>
  <si>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</si>
  <si>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</si>
  <si>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</si>
  <si>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</si>
  <si>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</si>
  <si>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</si>
  <si>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</si>
  <si>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</si>
  <si>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</si>
  <si>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</si>
  <si>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</si>
  <si>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</si>
  <si>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</si>
  <si>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</si>
  <si>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</si>
  <si>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</si>
  <si>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</si>
  <si>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</si>
  <si>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</si>
  <si>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</si>
  <si>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</si>
  <si>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</si>
  <si>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</si>
  <si>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</si>
  <si>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</si>
  <si>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</si>
  <si>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</si>
  <si>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</si>
  <si>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</si>
  <si>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</si>
  <si>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</si>
  <si>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</si>
  <si>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</si>
  <si>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</si>
  <si>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</si>
  <si>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</si>
  <si>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</si>
  <si>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</si>
  <si>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</si>
  <si>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</si>
  <si>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</si>
  <si>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</si>
  <si>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</si>
  <si>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</si>
  <si>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</si>
  <si>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</si>
  <si>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</si>
  <si>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</si>
  <si>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</si>
  <si>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</si>
  <si>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</si>
  <si>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</si>
  <si>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</si>
  <si>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</si>
  <si>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</si>
  <si>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</si>
  <si>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</si>
  <si>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</si>
  <si>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</si>
  <si>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</si>
  <si>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</si>
  <si>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</si>
  <si>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</si>
  <si>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</si>
  <si>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</si>
  <si>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</si>
  <si>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</si>
  <si>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</si>
  <si>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</si>
  <si>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</si>
  <si>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</si>
  <si>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</si>
  <si>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</si>
  <si>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</si>
  <si>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</si>
  <si>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</si>
  <si>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</si>
  <si>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</si>
  <si>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</si>
  <si>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</si>
  <si>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</si>
  <si>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</si>
  <si>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</si>
  <si>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</si>
  <si>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</si>
  <si>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</si>
  <si>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</si>
  <si>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</si>
  <si>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</si>
  <si>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</si>
  <si>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</si>
  <si>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</si>
  <si>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</si>
  <si>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</si>
  <si>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</si>
  <si>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</si>
  <si>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</si>
  <si>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</si>
  <si>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</si>
  <si>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</si>
  <si>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</si>
  <si>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</si>
  <si>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</si>
  <si>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</si>
  <si>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</si>
  <si>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</si>
  <si>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</si>
  <si>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</si>
  <si>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</si>
  <si>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</si>
  <si>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</si>
  <si>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</si>
  <si>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</si>
  <si>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</si>
  <si>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</si>
  <si>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</si>
  <si>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</si>
  <si>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</si>
  <si>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</si>
  <si>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</si>
  <si>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</si>
  <si>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</si>
  <si>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</si>
  <si>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</si>
  <si>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</si>
  <si>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</si>
  <si>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</si>
  <si>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</si>
  <si>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</si>
  <si>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</si>
  <si>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</si>
  <si>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</si>
  <si>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</si>
  <si>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</si>
  <si>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</si>
  <si>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</si>
  <si>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</si>
  <si>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</si>
  <si>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</si>
  <si>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</si>
  <si>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</si>
  <si>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</si>
  <si>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</si>
  <si>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</si>
  <si>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</si>
  <si>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</si>
  <si>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</si>
  <si>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</si>
  <si>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</si>
  <si>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</si>
  <si>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</si>
  <si>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</si>
  <si>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</si>
  <si>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</si>
  <si>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</si>
  <si>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</si>
  <si>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</si>
  <si>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</si>
  <si>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</si>
  <si>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</si>
  <si>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</si>
  <si>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</si>
  <si>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</si>
  <si>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</si>
  <si>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</si>
  <si>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</si>
  <si>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</si>
  <si>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</si>
  <si>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</si>
  <si>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</si>
  <si>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</si>
  <si>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</si>
  <si>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</si>
  <si>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</si>
  <si>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</si>
  <si>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</si>
  <si>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</si>
  <si>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</si>
  <si>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</si>
  <si>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</si>
  <si>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</si>
  <si>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</si>
  <si>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</si>
  <si>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</si>
  <si>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</si>
  <si>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</si>
  <si>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</si>
  <si>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</si>
  <si>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</si>
  <si>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</si>
  <si>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</si>
  <si>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</si>
  <si>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</si>
  <si>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</si>
  <si>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</si>
  <si>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</si>
  <si>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</si>
  <si>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</si>
  <si>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</si>
  <si>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</si>
  <si>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</si>
  <si>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</si>
  <si>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</si>
  <si>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</si>
  <si>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</si>
  <si>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</si>
  <si>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</si>
  <si>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</si>
  <si>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</si>
  <si>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</si>
  <si>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</si>
  <si>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</si>
  <si>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</si>
  <si>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</si>
  <si>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</si>
  <si>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</si>
  <si>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</si>
  <si>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</si>
  <si>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</si>
  <si>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</si>
  <si>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</si>
  <si>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</si>
  <si>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</si>
  <si>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</si>
  <si>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</si>
  <si>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</si>
  <si>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</si>
  <si>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</si>
  <si>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</si>
  <si>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</si>
  <si>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</si>
  <si>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</si>
  <si>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</si>
  <si>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</si>
  <si>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</si>
  <si>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</si>
  <si>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</si>
  <si>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</si>
  <si>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</si>
  <si>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</si>
  <si>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</si>
  <si>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</si>
  <si>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</si>
  <si>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</si>
  <si>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</si>
  <si>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</si>
  <si>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</si>
  <si>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</si>
  <si>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</si>
  <si>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</si>
  <si>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</si>
  <si>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</si>
  <si>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</si>
  <si>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</si>
  <si>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</si>
  <si>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</si>
  <si>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</si>
  <si>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</si>
  <si>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</si>
  <si>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</si>
  <si>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</si>
  <si>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</si>
  <si>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</si>
  <si>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</si>
  <si>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</si>
  <si>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</si>
  <si>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</si>
  <si>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</si>
  <si>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</si>
  <si>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</si>
  <si>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</si>
  <si>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</si>
  <si>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</si>
  <si>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</si>
  <si>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</si>
  <si>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</si>
  <si>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</si>
  <si>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</si>
  <si>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</si>
  <si>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</si>
  <si>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</si>
  <si>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</si>
  <si>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</si>
  <si>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</si>
  <si>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</si>
  <si>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</si>
  <si>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</si>
  <si>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</si>
  <si>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</si>
  <si>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</si>
  <si>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</si>
  <si>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</si>
  <si>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</si>
  <si>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</si>
  <si>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</si>
  <si>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</si>
  <si>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</si>
  <si>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</si>
  <si>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</si>
  <si>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</si>
  <si>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</si>
  <si>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</si>
  <si>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</si>
  <si>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</si>
  <si>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</si>
  <si>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</si>
  <si>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</si>
  <si>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</si>
  <si>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</si>
  <si>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</si>
  <si>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</si>
  <si>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</si>
  <si>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</si>
  <si>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</si>
  <si>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</si>
  <si>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</si>
  <si>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</si>
  <si>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</si>
  <si>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</si>
  <si>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</si>
  <si>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</si>
  <si>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</si>
  <si>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</si>
  <si>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</si>
  <si>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</si>
  <si>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</si>
  <si>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</si>
  <si>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</si>
  <si>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</si>
  <si>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</si>
  <si>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</si>
  <si>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</si>
  <si>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</si>
  <si>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</si>
  <si>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</si>
  <si>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</si>
  <si>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</si>
  <si>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</si>
  <si>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</si>
  <si>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</si>
  <si>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</si>
  <si>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</si>
  <si>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</si>
  <si>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</si>
  <si>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</si>
  <si>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</si>
  <si>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</si>
  <si>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</si>
  <si>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</si>
  <si>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</si>
  <si>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</si>
  <si>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</si>
  <si>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</si>
  <si>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</si>
  <si>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</si>
  <si>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</si>
  <si>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</si>
  <si>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</si>
  <si>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</si>
  <si>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</si>
  <si>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</si>
  <si>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</si>
  <si>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</si>
  <si>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</si>
  <si>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</si>
  <si>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</si>
  <si>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</si>
  <si>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</si>
  <si>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</si>
  <si>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</si>
  <si>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</si>
  <si>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</si>
  <si>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</si>
  <si>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</si>
  <si>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</si>
  <si>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</si>
  <si>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</si>
  <si>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</si>
  <si>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</si>
  <si>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</si>
  <si>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</si>
  <si>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</si>
  <si>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</si>
  <si>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</si>
  <si>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</si>
  <si>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</si>
  <si>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</si>
  <si>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</si>
  <si>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</si>
  <si>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</si>
  <si>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</si>
  <si>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</si>
  <si>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</si>
  <si>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</si>
  <si>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</si>
  <si>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</si>
  <si>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</si>
  <si>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</si>
  <si>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</si>
  <si>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</si>
  <si>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</si>
  <si>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</si>
  <si>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</si>
  <si>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</si>
  <si>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</si>
  <si>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</si>
  <si>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</si>
  <si>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</si>
  <si>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</si>
  <si>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</si>
  <si>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</si>
  <si>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</si>
  <si>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</si>
  <si>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</si>
  <si>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</si>
  <si>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</si>
  <si>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</si>
  <si>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</si>
  <si>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</si>
  <si>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</si>
  <si>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</si>
  <si>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</si>
  <si>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</si>
  <si>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</si>
  <si>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</si>
  <si>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</si>
  <si>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</si>
  <si>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</si>
  <si>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</si>
  <si>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</si>
  <si>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</si>
  <si>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</si>
  <si>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</si>
  <si>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</si>
  <si>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</si>
  <si>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</si>
  <si>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</si>
  <si>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</si>
  <si>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</si>
  <si>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</si>
  <si>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</si>
  <si>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</si>
  <si>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</si>
  <si>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</si>
  <si>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</si>
  <si>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</si>
  <si>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</si>
  <si>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</si>
  <si>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</si>
  <si>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</si>
  <si>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</si>
  <si>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</si>
  <si>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</si>
  <si>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</si>
  <si>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</si>
  <si>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</si>
  <si>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</si>
  <si>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</si>
  <si>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</si>
  <si>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</si>
  <si>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</si>
  <si>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</si>
  <si>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</si>
  <si>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</si>
  <si>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</si>
  <si>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</si>
  <si>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</si>
  <si>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</si>
  <si>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</si>
  <si>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</si>
  <si>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</si>
  <si>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</si>
  <si>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</si>
  <si>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</si>
  <si>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</si>
  <si>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</si>
  <si>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</si>
  <si>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</si>
  <si>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</si>
  <si>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</si>
  <si>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</si>
  <si>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</si>
  <si>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</si>
  <si>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</si>
  <si>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</si>
  <si>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</si>
  <si>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</si>
  <si>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</si>
  <si>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</si>
  <si>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</si>
  <si>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</si>
  <si>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</si>
  <si>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</si>
  <si>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</si>
  <si>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</si>
  <si>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</si>
  <si>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</si>
  <si>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</si>
  <si>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</si>
  <si>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</si>
  <si>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</si>
  <si>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</si>
  <si>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</si>
  <si>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</si>
  <si>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</si>
  <si>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</si>
  <si>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</si>
  <si>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</si>
  <si>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</si>
  <si>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</si>
  <si>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</si>
  <si>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</si>
  <si>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</si>
  <si>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</si>
  <si>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</si>
  <si>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</si>
  <si>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</si>
  <si>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</si>
  <si>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</si>
  <si>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</si>
  <si>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</si>
  <si>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</si>
  <si>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</si>
  <si>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</si>
  <si>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</si>
  <si>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</si>
  <si>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</si>
  <si>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</si>
  <si>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</si>
  <si>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</si>
  <si>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</si>
  <si>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</si>
  <si>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</si>
  <si>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</si>
  <si>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</si>
  <si>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</si>
  <si>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</si>
  <si>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</si>
  <si>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</si>
  <si>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</si>
  <si>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</si>
  <si>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</si>
  <si>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</si>
  <si>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</si>
  <si>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</si>
  <si>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</si>
  <si>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</si>
  <si>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</si>
  <si>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</si>
  <si>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</si>
  <si>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</si>
  <si>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</si>
  <si>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</si>
  <si>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</si>
  <si>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</si>
  <si>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</si>
  <si>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</si>
  <si>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</si>
  <si>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</si>
  <si>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</si>
  <si>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</si>
  <si>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</si>
  <si>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</si>
  <si>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</si>
  <si>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</si>
  <si>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</si>
  <si>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</si>
  <si>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</si>
  <si>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</si>
  <si>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</si>
  <si>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</si>
  <si>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</si>
  <si>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</si>
  <si>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</si>
  <si>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</si>
  <si>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</si>
  <si>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</si>
  <si>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</si>
  <si>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</si>
  <si>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</si>
  <si>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</si>
  <si>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</si>
  <si>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</si>
  <si>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</si>
  <si>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</si>
  <si>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</si>
  <si>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</si>
  <si>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</si>
  <si>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</si>
  <si>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</si>
  <si>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</si>
  <si>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</si>
  <si>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</si>
  <si>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</si>
  <si>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</si>
  <si>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</si>
  <si>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</si>
  <si>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</si>
  <si>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</si>
  <si>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</si>
  <si>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</si>
  <si>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</si>
  <si>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</si>
  <si>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</si>
  <si>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</si>
  <si>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</si>
  <si>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</si>
  <si>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</si>
  <si>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</si>
  <si>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</si>
  <si>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</si>
  <si>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</si>
  <si>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</si>
  <si>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</si>
  <si>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</si>
  <si>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</si>
  <si>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</si>
  <si>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</si>
  <si>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</si>
  <si>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</si>
  <si>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</si>
  <si>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</si>
  <si>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</si>
  <si>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</si>
  <si>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</si>
  <si>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</si>
  <si>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</si>
  <si>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</si>
  <si>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</si>
  <si>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</si>
  <si>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</si>
  <si>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</si>
  <si>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</si>
  <si>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</si>
  <si>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</si>
  <si>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</si>
  <si>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</si>
  <si>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</si>
  <si>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</si>
  <si>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</si>
  <si>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</si>
  <si>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</si>
  <si>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</si>
  <si>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</si>
  <si>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</si>
  <si>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</si>
  <si>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</si>
  <si>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</si>
  <si>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</si>
  <si>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</si>
  <si>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</si>
  <si>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</si>
  <si>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</si>
  <si>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</si>
  <si>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</si>
  <si>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</si>
  <si>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</si>
  <si>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</si>
  <si>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</si>
  <si>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</si>
  <si>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</si>
  <si>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</si>
  <si>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</si>
  <si>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</si>
  <si>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</si>
  <si>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</si>
  <si>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</si>
  <si>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</si>
  <si>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</si>
  <si>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</si>
  <si>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</si>
  <si>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</si>
  <si>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</si>
  <si>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</si>
  <si>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</si>
  <si>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</si>
  <si>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</si>
  <si>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</si>
  <si>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</si>
  <si>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</si>
  <si>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</si>
  <si>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</si>
  <si>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</si>
  <si>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</si>
  <si>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</si>
  <si>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</si>
  <si>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</si>
  <si>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</si>
  <si>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</si>
  <si>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</si>
  <si>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</si>
  <si>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</si>
  <si>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</si>
  <si>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</si>
  <si>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</si>
  <si>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</si>
  <si>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</si>
  <si>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</si>
  <si>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</si>
  <si>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</si>
  <si>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</si>
  <si>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</si>
  <si>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</si>
  <si>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</si>
  <si>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</si>
  <si>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</si>
  <si>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</si>
  <si>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</si>
  <si>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</si>
  <si>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</si>
  <si>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</si>
  <si>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</si>
  <si>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</si>
  <si>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</si>
  <si>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</si>
  <si>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</si>
  <si>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</si>
  <si>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</si>
  <si>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</si>
  <si>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</si>
  <si>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</si>
  <si>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</si>
  <si>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</si>
  <si>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</si>
  <si>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</si>
  <si>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</si>
  <si>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</si>
  <si>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</si>
  <si>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</si>
  <si>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</si>
  <si>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</si>
  <si>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</si>
  <si>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</si>
  <si>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</si>
  <si>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</si>
  <si>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</si>
  <si>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</si>
  <si>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</si>
  <si>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</si>
  <si>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</si>
  <si>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</si>
  <si>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</si>
  <si>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</si>
  <si>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</si>
  <si>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</si>
  <si>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</si>
  <si>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</si>
  <si>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</si>
  <si>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</si>
  <si>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</si>
  <si>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</si>
  <si>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</si>
  <si>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</si>
  <si>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</si>
  <si>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</si>
  <si>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</si>
  <si>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</si>
  <si>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</si>
  <si>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</si>
  <si>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</si>
  <si>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</si>
  <si>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</si>
  <si>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</si>
  <si>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</si>
  <si>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</si>
  <si>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</si>
  <si>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</si>
  <si>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</si>
  <si>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</si>
  <si>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</si>
  <si>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</si>
  <si>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</si>
  <si>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</si>
  <si>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</si>
  <si>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</si>
  <si>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</si>
  <si>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</si>
  <si>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</si>
  <si>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</si>
  <si>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</si>
  <si>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</si>
  <si>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</si>
  <si>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</si>
  <si>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</si>
  <si>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</si>
  <si>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</si>
  <si>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</si>
  <si>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</si>
  <si>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</si>
  <si>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</si>
  <si>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</si>
  <si>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</si>
  <si>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</si>
  <si>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</si>
  <si>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</si>
  <si>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</si>
  <si>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</si>
  <si>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</si>
  <si>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</si>
  <si>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</si>
  <si>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</si>
  <si>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</si>
  <si>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</si>
  <si>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</si>
  <si>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</si>
  <si>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</si>
  <si>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</si>
  <si>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</si>
  <si>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</si>
  <si>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</si>
  <si>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</si>
  <si>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</si>
  <si>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</si>
  <si>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</si>
  <si>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</si>
  <si>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</si>
  <si>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</si>
  <si>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</si>
  <si>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</si>
  <si>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</si>
  <si>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</si>
  <si>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</si>
  <si>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</si>
  <si>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</si>
  <si>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</si>
  <si>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</si>
  <si>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</si>
  <si>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</si>
  <si>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</si>
  <si>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</si>
  <si>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</si>
  <si>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</si>
  <si>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</si>
  <si>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</si>
  <si>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</si>
  <si>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</si>
  <si>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</si>
  <si>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</si>
  <si>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</si>
  <si>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</si>
  <si>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</si>
  <si>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</si>
  <si>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</si>
  <si>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</si>
  <si>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</si>
  <si>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</si>
  <si>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</si>
  <si>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</si>
  <si>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</si>
  <si>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</si>
  <si>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</si>
  <si>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</si>
  <si>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</si>
  <si>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</si>
  <si>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</si>
  <si>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</si>
  <si>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</si>
  <si>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</si>
  <si>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</si>
  <si>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</si>
  <si>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</si>
  <si>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</si>
  <si>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</si>
  <si>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</si>
  <si>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</si>
  <si>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</si>
  <si>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</si>
  <si>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</si>
  <si>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</si>
  <si>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</si>
  <si>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</si>
  <si>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</si>
  <si>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</si>
  <si>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</si>
  <si>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</si>
  <si>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</si>
  <si>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</si>
  <si>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</si>
  <si>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</si>
  <si>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</si>
  <si>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</si>
  <si>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</si>
  <si>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</si>
  <si>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</si>
  <si>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</si>
  <si>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</si>
  <si>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</si>
  <si>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</si>
  <si>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</si>
  <si>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</si>
  <si>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</si>
  <si>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</si>
  <si>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</si>
  <si>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</si>
  <si>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</si>
  <si>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</si>
  <si>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</si>
  <si>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</si>
  <si>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</si>
  <si>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</si>
  <si>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</si>
  <si>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</si>
  <si>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</si>
  <si>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</si>
  <si>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</si>
  <si>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</si>
  <si>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</si>
  <si>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</si>
  <si>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</si>
  <si>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</si>
  <si>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</si>
  <si>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</si>
  <si>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</si>
  <si>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</si>
  <si>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</si>
  <si>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</si>
  <si>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</si>
  <si>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</si>
  <si>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</si>
  <si>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</si>
  <si>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</si>
  <si>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</si>
  <si>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</si>
  <si>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</si>
  <si>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</si>
  <si>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</si>
  <si>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</si>
  <si>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</si>
  <si>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</si>
  <si>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</si>
  <si>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</si>
  <si>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</si>
  <si>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</si>
  <si>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</si>
  <si>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</si>
  <si>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</si>
  <si>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</si>
  <si>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</si>
  <si>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</si>
  <si>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</si>
  <si>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</si>
  <si>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</si>
  <si>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</si>
  <si>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</si>
  <si>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</si>
  <si>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</si>
  <si>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</si>
  <si>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</si>
  <si>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</si>
  <si>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</si>
  <si>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</si>
  <si>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</si>
  <si>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</si>
  <si>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</si>
  <si>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</si>
  <si>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</si>
  <si>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</si>
  <si>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</si>
  <si>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</si>
  <si>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</si>
  <si>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</si>
  <si>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</si>
  <si>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</si>
  <si>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</si>
  <si>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</si>
  <si>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</si>
  <si>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</si>
  <si>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</si>
  <si>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</si>
  <si>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</si>
  <si>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</si>
  <si>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</si>
  <si>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</si>
  <si>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</si>
  <si>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</si>
  <si>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</si>
  <si>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</si>
  <si>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</si>
  <si>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</si>
  <si>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</si>
  <si>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</si>
  <si>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</si>
  <si>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</si>
  <si>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</si>
  <si>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</si>
  <si>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</si>
  <si>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</si>
  <si>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</si>
  <si>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</si>
  <si>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</si>
  <si>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</si>
  <si>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</si>
  <si>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</si>
  <si>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</si>
  <si>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</si>
  <si>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</si>
  <si>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</si>
  <si>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</si>
  <si>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</si>
  <si>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</si>
  <si>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</si>
  <si>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</si>
  <si>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</si>
  <si>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</si>
  <si>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</si>
  <si>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</si>
  <si>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</si>
  <si>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</si>
  <si>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</si>
  <si>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</si>
  <si>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</si>
  <si>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</si>
  <si>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</si>
  <si>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</si>
  <si>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</si>
  <si>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</si>
  <si>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</si>
  <si>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</si>
  <si>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</si>
  <si>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</si>
  <si>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</si>
  <si>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</si>
  <si>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</si>
  <si>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</si>
  <si>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</si>
  <si>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</si>
  <si>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</si>
  <si>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</si>
  <si>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</si>
  <si>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</si>
  <si>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</si>
  <si>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</si>
  <si>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</si>
  <si>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</si>
  <si>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</si>
  <si>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</si>
  <si>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</si>
  <si>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</si>
  <si>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</si>
  <si>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</si>
  <si>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</si>
  <si>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</si>
  <si>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</si>
  <si>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</si>
  <si>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</si>
  <si>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</si>
  <si>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</si>
  <si>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</si>
  <si>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</si>
  <si>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</si>
  <si>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</si>
  <si>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</si>
  <si>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</si>
  <si>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</si>
  <si>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</si>
  <si>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</si>
  <si>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</si>
  <si>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</si>
  <si>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</si>
  <si>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</si>
  <si>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</si>
  <si>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</si>
  <si>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</si>
  <si>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</si>
  <si>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</si>
  <si>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</si>
  <si>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</si>
  <si>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</si>
  <si>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</si>
  <si>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</si>
  <si>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</si>
  <si>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</si>
  <si>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</si>
  <si>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</si>
  <si>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</si>
  <si>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</si>
  <si>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</si>
  <si>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</si>
  <si>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</si>
  <si>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</si>
  <si>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</si>
  <si>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</si>
  <si>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</si>
  <si>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</si>
  <si>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</si>
  <si>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</si>
  <si>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</si>
  <si>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</si>
  <si>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</si>
  <si>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</si>
  <si>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</si>
  <si>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</si>
  <si>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</si>
  <si>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</si>
  <si>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</si>
  <si>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</si>
  <si>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</si>
  <si>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</si>
  <si>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</si>
  <si>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</si>
  <si>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</si>
  <si>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</si>
  <si>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</si>
  <si>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</si>
  <si>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</si>
  <si>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</si>
  <si>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</si>
  <si>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</si>
  <si>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</si>
  <si>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</si>
  <si>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</si>
  <si>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</si>
  <si>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</si>
  <si>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</si>
  <si>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</si>
  <si>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</si>
  <si>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</si>
  <si>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</si>
  <si>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</si>
  <si>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</si>
  <si>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</si>
  <si>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</si>
  <si>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</si>
  <si>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</si>
  <si>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</si>
  <si>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</si>
  <si>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</si>
  <si>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</si>
  <si>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</si>
  <si>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</si>
  <si>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</si>
  <si>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</si>
  <si>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</si>
  <si>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</si>
  <si>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</si>
  <si>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</si>
  <si>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</si>
  <si>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</si>
  <si>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</si>
  <si>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</si>
  <si>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</si>
  <si>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</si>
  <si>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</si>
  <si>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</si>
  <si>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</si>
  <si>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</si>
  <si>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</si>
  <si>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</si>
  <si>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</si>
  <si>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</si>
  <si>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</si>
  <si>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</si>
  <si>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</si>
  <si>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</si>
  <si>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</si>
  <si>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</si>
  <si>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</si>
  <si>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</si>
  <si>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</si>
  <si>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</si>
  <si>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</si>
  <si>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</si>
  <si>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</si>
  <si>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</si>
  <si>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</si>
  <si>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</si>
  <si>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</si>
  <si>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</si>
  <si>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</si>
  <si>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</si>
  <si>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</si>
  <si>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</si>
  <si>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</si>
  <si>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</si>
  <si>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</si>
  <si>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</si>
  <si>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</si>
  <si>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</si>
  <si>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</si>
  <si>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</si>
  <si>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</si>
  <si>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</si>
  <si>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</si>
  <si>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</si>
  <si>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</si>
  <si>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</si>
  <si>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</si>
  <si>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</si>
  <si>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</si>
  <si>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</si>
  <si>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</si>
  <si>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</si>
  <si>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</si>
  <si>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</si>
  <si>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</si>
  <si>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</si>
  <si>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</si>
  <si>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</si>
  <si>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</si>
  <si>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</si>
  <si>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</si>
  <si>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</si>
  <si>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</si>
  <si>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</si>
  <si>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</si>
  <si>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</si>
  <si>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</si>
  <si>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</si>
  <si>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</si>
  <si>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</si>
  <si>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</si>
  <si>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</si>
  <si>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</si>
  <si>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</si>
  <si>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</si>
  <si>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</si>
  <si>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</si>
  <si>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</si>
  <si>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</si>
  <si>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</si>
  <si>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</si>
  <si>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</si>
  <si>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</si>
  <si>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</si>
  <si>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</si>
  <si>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</si>
  <si>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</si>
  <si>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</si>
  <si>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</si>
  <si>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</si>
  <si>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</si>
  <si>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</si>
  <si>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</si>
  <si>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</si>
  <si>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</si>
  <si>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</si>
  <si>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</si>
  <si>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</si>
  <si>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</si>
  <si>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</si>
  <si>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</si>
  <si>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</si>
  <si>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</si>
  <si>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</si>
  <si>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</si>
  <si>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</si>
  <si>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</si>
  <si>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</si>
  <si>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</si>
  <si>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</si>
  <si>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</si>
  <si>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</si>
  <si>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</si>
  <si>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</si>
  <si>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</si>
  <si>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</si>
  <si>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</si>
  <si>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</si>
  <si>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</si>
  <si>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</si>
  <si>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</si>
  <si>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</si>
  <si>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</si>
  <si>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</si>
  <si>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</si>
  <si>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</si>
  <si>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</si>
  <si>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</si>
  <si>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</si>
  <si>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</si>
  <si>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</si>
  <si>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</si>
  <si>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</si>
  <si>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</si>
  <si>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</si>
  <si>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</si>
  <si>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</si>
  <si>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</si>
  <si>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</si>
  <si>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</si>
  <si>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</si>
  <si>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</si>
  <si>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</si>
  <si>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</si>
  <si>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</si>
  <si>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</si>
  <si>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</si>
  <si>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</si>
  <si>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</si>
  <si>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</si>
  <si>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</si>
  <si>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</si>
  <si>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</si>
  <si>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</si>
  <si>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</si>
  <si>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</si>
  <si>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</si>
  <si>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</si>
  <si>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</si>
  <si>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</si>
  <si>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</si>
  <si>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</si>
  <si>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</si>
  <si>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</si>
  <si>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</si>
  <si>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</si>
  <si>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</si>
  <si>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</si>
  <si>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</si>
  <si>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</si>
  <si>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</si>
  <si>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</si>
  <si>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</si>
  <si>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</si>
  <si>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</si>
  <si>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</si>
  <si>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</si>
  <si>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</si>
  <si>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</si>
  <si>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</si>
  <si>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</si>
  <si>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</si>
  <si>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</si>
  <si>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</si>
  <si>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</si>
  <si>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</si>
  <si>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</si>
  <si>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</si>
  <si>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</si>
  <si>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</si>
  <si>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</si>
  <si>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</si>
  <si>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</si>
  <si>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</si>
  <si>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</si>
  <si>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</si>
  <si>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</si>
  <si>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</si>
  <si>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</si>
  <si>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</si>
  <si>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</si>
  <si>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</si>
  <si>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</si>
  <si>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</si>
  <si>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</si>
  <si>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</si>
  <si>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</si>
  <si>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</si>
  <si>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</si>
  <si>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</si>
  <si>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</si>
  <si>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</si>
  <si>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</si>
  <si>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</si>
  <si>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</si>
  <si>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</si>
  <si>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</si>
  <si>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</si>
  <si>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</si>
  <si>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</si>
  <si>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</si>
  <si>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</si>
  <si>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</si>
  <si>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</si>
  <si>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</si>
  <si>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</si>
  <si>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</si>
  <si>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</si>
  <si>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</si>
  <si>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</si>
  <si>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</si>
  <si>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</si>
  <si>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</si>
  <si>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</si>
  <si>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</si>
  <si>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</si>
  <si>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</si>
  <si>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</si>
  <si>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</si>
  <si>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</si>
  <si>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</si>
  <si>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</si>
  <si>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</si>
  <si>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</si>
  <si>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</si>
  <si>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</si>
  <si>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</si>
  <si>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</si>
  <si>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</si>
  <si>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</si>
  <si>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</si>
  <si>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</si>
  <si>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</si>
  <si>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</si>
  <si>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</si>
  <si>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</si>
  <si>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</si>
  <si>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</si>
  <si>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</si>
  <si>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</si>
  <si>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</si>
  <si>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</si>
  <si>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</si>
  <si>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</si>
  <si>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</si>
  <si>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</si>
  <si>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</si>
  <si>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</si>
  <si>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</si>
  <si>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</si>
  <si>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</si>
  <si>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</si>
  <si>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</si>
  <si>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</si>
  <si>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</si>
  <si>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</si>
  <si>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</si>
  <si>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</si>
  <si>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</si>
  <si>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</si>
  <si>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</si>
  <si>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</si>
  <si>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</si>
  <si>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</si>
  <si>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</si>
  <si>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</si>
  <si>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</si>
  <si>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</si>
  <si>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</si>
  <si>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</si>
  <si>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</si>
  <si>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</si>
  <si>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</si>
  <si>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</si>
  <si>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</si>
  <si>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</si>
  <si>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</si>
  <si>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</si>
  <si>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</si>
  <si>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</si>
  <si>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</si>
  <si>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</si>
  <si>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</si>
  <si>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</si>
  <si>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</si>
  <si>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</si>
  <si>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</si>
  <si>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</si>
  <si>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</si>
  <si>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</si>
  <si>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</si>
  <si>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</si>
  <si>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</si>
  <si>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</si>
  <si>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</si>
  <si>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</si>
  <si>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</si>
  <si>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</si>
  <si>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</si>
  <si>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</si>
  <si>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</si>
  <si>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</si>
  <si>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</si>
  <si>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</si>
  <si>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</si>
  <si>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</si>
  <si>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</si>
  <si>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</si>
  <si>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</si>
  <si>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</si>
  <si>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</si>
  <si>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</si>
  <si>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</si>
  <si>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</si>
  <si>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</si>
  <si>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</si>
  <si>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</si>
  <si>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</si>
  <si>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</si>
  <si>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</si>
  <si>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</si>
  <si>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</si>
  <si>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</si>
  <si>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</si>
  <si>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</si>
  <si>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</si>
  <si>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</si>
  <si>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</si>
  <si>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</si>
  <si>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</si>
  <si>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</si>
  <si>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</si>
  <si>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</si>
  <si>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</si>
  <si>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</si>
  <si>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</si>
  <si>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</si>
  <si>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</si>
  <si>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</si>
  <si>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</si>
  <si>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</si>
  <si>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</si>
  <si>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</si>
  <si>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</si>
  <si>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</si>
  <si>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</si>
  <si>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</si>
  <si>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</si>
  <si>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</si>
  <si>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</si>
  <si>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</si>
  <si>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</si>
  <si>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</si>
  <si>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</si>
  <si>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</si>
  <si>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</si>
  <si>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</si>
  <si>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</si>
  <si>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</si>
  <si>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</si>
  <si>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</si>
  <si>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</si>
  <si>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</si>
  <si>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</si>
  <si>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</si>
  <si>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</si>
  <si>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</si>
  <si>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</si>
  <si>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</si>
  <si>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</si>
  <si>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</si>
  <si>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</si>
  <si>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</si>
  <si>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</si>
  <si>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</si>
  <si>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</si>
  <si>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</si>
  <si>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</si>
  <si>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</si>
  <si>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</si>
  <si>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</si>
  <si>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</si>
  <si>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</si>
  <si>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</si>
  <si>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</si>
  <si>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</si>
  <si>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</si>
  <si>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</si>
  <si>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</si>
  <si>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</si>
  <si>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</si>
  <si>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</si>
  <si>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</si>
  <si>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</si>
  <si>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</si>
  <si>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</si>
  <si>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</si>
  <si>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</si>
  <si>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</si>
  <si>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</si>
  <si>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</si>
  <si>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</si>
  <si>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</si>
  <si>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</si>
  <si>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</si>
  <si>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</si>
  <si>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</si>
  <si>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</si>
  <si>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</si>
  <si>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</si>
  <si>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</si>
  <si>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</si>
  <si>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</si>
  <si>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</si>
  <si>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</si>
  <si>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</si>
  <si>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</si>
  <si>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</si>
  <si>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</si>
  <si>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</si>
  <si>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</si>
  <si>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</si>
  <si>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</si>
  <si>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</si>
  <si>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</si>
  <si>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</si>
  <si>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</si>
  <si>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</si>
  <si>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</si>
  <si>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</si>
  <si>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</si>
  <si>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</si>
  <si>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</si>
  <si>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</si>
  <si>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</si>
  <si>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</si>
  <si>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</si>
  <si>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</si>
  <si>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</si>
  <si>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</si>
  <si>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</si>
  <si>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</si>
  <si>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</si>
  <si>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</si>
  <si>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</si>
  <si>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</si>
  <si>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</si>
  <si>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</si>
  <si>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</si>
  <si>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</si>
  <si>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</si>
  <si>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</si>
  <si>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</si>
  <si>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</si>
  <si>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</si>
  <si>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</si>
  <si>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</si>
  <si>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</si>
  <si>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</si>
  <si>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</si>
  <si>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</si>
  <si>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</si>
  <si>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</si>
  <si>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</si>
  <si>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</si>
  <si>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</si>
  <si>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</si>
  <si>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</si>
  <si>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</si>
  <si>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</si>
  <si>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</si>
  <si>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</si>
  <si>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</si>
  <si>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</si>
  <si>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</si>
  <si>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</si>
  <si>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</si>
  <si>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</si>
  <si>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</si>
  <si>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</si>
  <si>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</si>
  <si>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</si>
  <si>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</si>
  <si>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</si>
  <si>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</si>
  <si>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</si>
  <si>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</si>
  <si>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</si>
  <si>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</si>
  <si>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</si>
  <si>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</si>
  <si>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</si>
  <si>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</si>
  <si>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</si>
  <si>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</si>
  <si>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</si>
  <si>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</si>
  <si>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</si>
  <si>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</si>
  <si>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</si>
  <si>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</si>
  <si>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</si>
  <si>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</si>
  <si>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</si>
  <si>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</si>
  <si>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</si>
  <si>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</si>
  <si>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</si>
  <si>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</si>
  <si>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</si>
  <si>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</si>
  <si>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</si>
  <si>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</si>
  <si>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</si>
  <si>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</si>
  <si>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</si>
  <si>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</si>
  <si>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</si>
  <si>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</si>
  <si>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</si>
  <si>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</si>
  <si>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</si>
  <si>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</si>
  <si>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</si>
  <si>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</si>
  <si>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</si>
  <si>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</si>
  <si>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</si>
  <si>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</si>
  <si>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</si>
  <si>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</si>
  <si>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</si>
  <si>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</si>
  <si>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</si>
  <si>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</si>
  <si>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</si>
  <si>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</si>
  <si>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</si>
  <si>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</si>
  <si>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</si>
  <si>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</si>
  <si>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</si>
  <si>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</si>
  <si>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</si>
  <si>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</si>
  <si>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</si>
  <si>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</si>
  <si>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</si>
  <si>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</si>
  <si>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</si>
  <si>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</si>
  <si>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</si>
  <si>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</si>
  <si>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</si>
  <si>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</si>
  <si>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</si>
  <si>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</si>
  <si>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</si>
  <si>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</si>
  <si>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</si>
  <si>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</si>
  <si>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</si>
  <si>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</si>
  <si>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</si>
  <si>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</si>
  <si>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</si>
  <si>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</si>
  <si>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</si>
  <si>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</si>
  <si>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</si>
  <si>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</si>
  <si>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</si>
  <si>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</si>
  <si>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</si>
  <si>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</si>
  <si>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</si>
  <si>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</si>
  <si>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</si>
  <si>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</si>
  <si>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</si>
  <si>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</si>
  <si>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</si>
  <si>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</si>
  <si>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</si>
  <si>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</si>
  <si>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</si>
  <si>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</si>
  <si>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</si>
  <si>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</si>
  <si>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</si>
  <si>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</si>
  <si>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</si>
  <si>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</si>
  <si>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</si>
  <si>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</si>
  <si>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</si>
  <si>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</si>
  <si>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</si>
  <si>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</si>
  <si>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</si>
  <si>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</si>
  <si>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</si>
  <si>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</si>
  <si>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</si>
  <si>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</si>
  <si>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</si>
  <si>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</si>
  <si>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</si>
  <si>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</si>
  <si>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</si>
  <si>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</si>
  <si>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</si>
  <si>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</si>
  <si>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</si>
  <si>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</si>
  <si>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</si>
  <si>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</si>
  <si>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</si>
  <si>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</si>
  <si>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</si>
  <si>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</si>
  <si>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</si>
  <si>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</si>
  <si>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</si>
  <si>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</si>
  <si>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</si>
  <si>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</si>
  <si>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</si>
  <si>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</si>
  <si>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</si>
  <si>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</si>
  <si>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</si>
  <si>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</si>
  <si>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</si>
  <si>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</si>
  <si>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</si>
  <si>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</si>
  <si>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</si>
  <si>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</si>
  <si>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</si>
  <si>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</si>
  <si>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</si>
  <si>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</si>
  <si>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</si>
  <si>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</si>
  <si>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</si>
  <si>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</si>
  <si>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</si>
  <si>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</si>
  <si>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</si>
  <si>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</si>
  <si>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</si>
  <si>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</si>
  <si>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</si>
  <si>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</si>
  <si>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</si>
  <si>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</si>
  <si>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</si>
  <si>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</si>
  <si>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</si>
  <si>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</si>
  <si>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</si>
  <si>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</si>
  <si>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</si>
  <si>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</si>
  <si>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</si>
  <si>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</si>
  <si>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</si>
  <si>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</si>
  <si>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</si>
  <si>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</si>
  <si>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</si>
  <si>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</si>
  <si>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</si>
  <si>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</si>
  <si>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</si>
  <si>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</si>
  <si>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</si>
  <si>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</si>
  <si>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</si>
  <si>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</si>
  <si>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</si>
  <si>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</si>
  <si>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</si>
  <si>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</si>
  <si>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</si>
  <si>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</si>
  <si>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</si>
  <si>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</si>
  <si>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</si>
  <si>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</si>
  <si>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</si>
  <si>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</si>
  <si>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</si>
  <si>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</si>
  <si>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</si>
  <si>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</si>
  <si>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</si>
  <si>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</si>
  <si>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</si>
  <si>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</si>
  <si>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</si>
  <si>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</si>
  <si>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</si>
  <si>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</si>
  <si>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</si>
  <si>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</si>
  <si>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</si>
  <si>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</si>
  <si>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</si>
  <si>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</si>
  <si>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</si>
  <si>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</si>
  <si>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</si>
  <si>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</si>
  <si>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</si>
  <si>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</si>
  <si>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</si>
  <si>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</si>
  <si>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</si>
  <si>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</si>
  <si>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</si>
  <si>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</si>
  <si>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</si>
  <si>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</si>
  <si>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</si>
  <si>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</si>
  <si>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</si>
  <si>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</si>
  <si>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</si>
  <si>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</si>
  <si>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</si>
  <si>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</si>
  <si>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</si>
  <si>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</si>
  <si>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</si>
  <si>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</si>
  <si>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</si>
  <si>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</si>
  <si>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</si>
  <si>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</si>
  <si>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</si>
  <si>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</si>
  <si>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</si>
  <si>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</si>
  <si>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</si>
  <si>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</si>
  <si>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</si>
  <si>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</si>
  <si>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</si>
  <si>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</si>
  <si>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</si>
  <si>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</si>
  <si>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</si>
  <si>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</si>
  <si>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</si>
  <si>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</si>
  <si>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</si>
  <si>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</si>
  <si>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</si>
  <si>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</si>
  <si>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</si>
  <si>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</si>
  <si>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</si>
  <si>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</si>
  <si>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</si>
  <si>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</si>
  <si>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</si>
  <si>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</si>
  <si>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</si>
  <si>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</si>
  <si>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</si>
  <si>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</si>
  <si>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</si>
  <si>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</si>
  <si>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</si>
  <si>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</si>
  <si>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</si>
  <si>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</si>
  <si>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</si>
  <si>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</si>
  <si>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</si>
  <si>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</si>
  <si>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</si>
  <si>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</si>
  <si>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</si>
  <si>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</si>
  <si>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</si>
  <si>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</si>
  <si>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</si>
  <si>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</si>
  <si>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</si>
  <si>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</si>
  <si>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</si>
  <si>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</si>
  <si>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</si>
  <si>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</si>
  <si>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</si>
  <si>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</si>
  <si>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</si>
  <si>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</si>
  <si>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</si>
  <si>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</si>
  <si>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</si>
  <si>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</si>
  <si>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</si>
  <si>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</si>
  <si>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</si>
  <si>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</si>
  <si>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</si>
  <si>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</si>
  <si>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</si>
  <si>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Diehl Metal Applications GmbH</t>
  </si>
  <si>
    <t>This CMRT is valid for DMA Berlin and DMA Teltow.
Dieser Bericht auf Basis des CMRT gilt für unsere Werke in Berlin und in Teltow.</t>
  </si>
  <si>
    <t>DUNS-Nr.  34 153 8133; Steuer-Nr. 241/115/20573, UST-IdNr. DE270079353</t>
  </si>
  <si>
    <t>Abteilung Qualitätsmanagement / Quality Management Department</t>
  </si>
  <si>
    <t>Stephan Osterwald</t>
  </si>
  <si>
    <t>D-14167 Berlin, Am Stichkanal 6-8, Deutschland / Germany</t>
  </si>
  <si>
    <t>stephan.osterwald@diehl.com</t>
  </si>
  <si>
    <t>+49-30-84784 4615</t>
  </si>
  <si>
    <t>Experte/Expert Rohs/Reach &amp; Konfliktmineralien/conflict minerals</t>
  </si>
  <si>
    <t xml:space="preserve"> All smelters which source tin from covered countries are compliant according to the list of RMI (15.03.2024). Thus this material has to be regarded as DRC conflict-free.</t>
  </si>
  <si>
    <t>100%</t>
  </si>
  <si>
    <t>https://www.diehl.com/group/de/unternehmen/compliance/</t>
  </si>
  <si>
    <t>Reported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</si>
</sst>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8054DF-7BAD-4893-8207-82362AF30B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37EFE6F-CD30-453C-9AEF-FC338CFD4C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45705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7" customHeight="1">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8.5"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28" t="s">
        <v>15867</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14954</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13948</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154118C-FC7B-407E-AC7F-062B074A4DD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 zoomScaleNormal="100" zoomScalePageLayoutView="55" workbookViewId="0">
      <selection activeCell="A5" sqref="A5:A3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759</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433</v>
      </c>
      <c r="X5" s="227">
        <f t="shared" ref="X5" ca="1" si="0">IF(AND(C5="Smelter not listed",OR(LEN(D5)=0,LEN(E5)=0)),1,0)</f>
        <v>0</v>
      </c>
      <c r="AB5" s="228" t="str">
        <f t="shared" ref="AB5" ca="1" si="1">B5&amp;C5</f>
        <v>TinEM Vinto</v>
      </c>
    </row>
    <row r="6" spans="1:34" s="227" customFormat="1" ht="20.100000000000001" customHeight="1">
      <c r="A6" s="262" t="s">
        <v>761</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2">IF(B6="","",IF(ISERROR(MATCH($E6,CL,0)),"Unknown",INDIRECT("'C'!$A$"&amp;MATCH($E6,CL,0)+1)))</f>
        <v>PL</v>
      </c>
      <c r="T6" s="181" t="str">
        <f ca="1">IF(B6="","",IF(ISERROR(MATCH($J6,SorP!$B$1:$B$6226,0)),"",INDIRECT("'SorP'!$A$"&amp;MATCH($S6&amp;$J6,SorP!C:C,0))))</f>
        <v>PL-18</v>
      </c>
      <c r="U6" s="201"/>
      <c r="V6" s="226">
        <f ca="1">IF(C6="",NA(),IF(OR(C6="Smelter not listed",C6="Smelter not yet identified"),MATCH($B6&amp;$D6,'Smelter Look-up'!$J:$J,0),MATCH($B6&amp;$C6,'Smelter Look-up'!$J:$J,0)))</f>
        <v>442</v>
      </c>
      <c r="X6" s="227">
        <f t="shared" ref="X6:X37" ca="1" si="3">IF(AND(C6="Smelter not listed",OR(LEN(D6)=0,LEN(E6)=0)),1,0)</f>
        <v>0</v>
      </c>
      <c r="AB6" s="228" t="str">
        <f t="shared" ref="AB6:AB37" ca="1" si="4">B6&amp;C6</f>
        <v>TinFenix Metals</v>
      </c>
    </row>
    <row r="7" spans="1:34" s="227" customFormat="1" ht="20.100000000000001" customHeight="1">
      <c r="A7" s="262" t="s">
        <v>766</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474</v>
      </c>
      <c r="X7" s="227">
        <f t="shared" ca="1" si="3"/>
        <v>0</v>
      </c>
      <c r="AB7" s="228" t="str">
        <f t="shared" ca="1" si="4"/>
        <v>TinMalaysia Smelting Corporation (MSC)</v>
      </c>
    </row>
    <row r="8" spans="1:34" s="227" customFormat="1" ht="20.100000000000001" customHeight="1">
      <c r="A8" s="262" t="s">
        <v>767</v>
      </c>
      <c r="B8" s="182" t="str">
        <f ca="1">IF(LEN(A8)=0,"",INDEX('Smelter Look-up'!$A:$A,MATCH($A8,'Smelter Look-up'!$E:$E,0)))</f>
        <v>Tin</v>
      </c>
      <c r="C8" s="186"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Bairro Guarapiranga</v>
      </c>
      <c r="J8" s="184" t="str">
        <f ca="1">IF(ISERROR($V8),"",OFFSET('Smelter Look-up'!$I$4,$V8-4,0))</f>
        <v>São Paulo</v>
      </c>
      <c r="K8" s="224"/>
      <c r="L8" s="224"/>
      <c r="M8" s="224"/>
      <c r="N8" s="224"/>
      <c r="O8" s="224"/>
      <c r="P8" s="185"/>
      <c r="Q8" s="225"/>
      <c r="R8" s="182" t="str">
        <f ca="1">IF(ISERROR($V8),"",OFFSET('Smelter Look-up'!$C$4,$V8-4,0)&amp;"")</f>
        <v>Mineracao Taboca S.A.</v>
      </c>
      <c r="S8" s="181" t="str">
        <f t="shared" ca="1" si="2"/>
        <v>BR</v>
      </c>
      <c r="T8" s="181" t="str">
        <f ca="1">IF(B8="","",IF(ISERROR(MATCH($J8,SorP!$B$1:$B$6226,0)),"",INDIRECT("'SorP'!$A$"&amp;MATCH($S8&amp;$J8,SorP!C:C,0))))</f>
        <v>BR-SP</v>
      </c>
      <c r="U8" s="201"/>
      <c r="V8" s="226">
        <f ca="1">IF(C8="",NA(),IF(OR(C8="Smelter not listed",C8="Smelter not yet identified"),MATCH($B8&amp;$D8,'Smelter Look-up'!$J:$J,0),MATCH($B8&amp;$C8,'Smelter Look-up'!$J:$J,0)))</f>
        <v>482</v>
      </c>
      <c r="X8" s="227">
        <f t="shared" ca="1" si="3"/>
        <v>0</v>
      </c>
      <c r="AB8" s="228" t="str">
        <f t="shared" ca="1" si="4"/>
        <v>TinMineracao Taboca S.A.</v>
      </c>
    </row>
    <row r="9" spans="1:34" s="227" customFormat="1" ht="20.100000000000001" customHeight="1">
      <c r="A9" s="262" t="s">
        <v>768</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 ca="1">IF(C9="",NA(),IF(OR(C9="Smelter not listed",C9="Smelter not yet identified"),MATCH($B9&amp;$D9,'Smelter Look-up'!$J:$J,0),MATCH($B9&amp;$C9,'Smelter Look-up'!$J:$J,0)))</f>
        <v>487</v>
      </c>
      <c r="X9" s="227">
        <f t="shared" ca="1" si="3"/>
        <v>0</v>
      </c>
      <c r="AB9" s="228" t="str">
        <f t="shared" ca="1" si="4"/>
        <v>TinMinsur</v>
      </c>
    </row>
    <row r="10" spans="1:34" s="227" customFormat="1" ht="20.100000000000001" customHeight="1">
      <c r="A10" s="262" t="s">
        <v>772</v>
      </c>
      <c r="B10" s="182" t="str">
        <f ca="1">IF(LEN(A10)=0,"",INDEX('Smelter Look-up'!$A:$A,MATCH($A10,'Smelter Look-up'!$E:$E,0)))</f>
        <v>Tin</v>
      </c>
      <c r="C10" s="186" t="str">
        <f ca="1">IF(LEN(A10)=0,"",INDEX('Smelter Look-up'!$C:$C,MATCH($A10,'Smelter Look-up'!$E:$E,0)))</f>
        <v>Operaciones Metalurgicas S.A.</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499</v>
      </c>
      <c r="X10" s="227">
        <f t="shared" ca="1" si="3"/>
        <v>0</v>
      </c>
      <c r="AB10" s="228" t="str">
        <f t="shared" ca="1" si="4"/>
        <v>TinOperaciones Metalurgicas S.A.</v>
      </c>
    </row>
    <row r="11" spans="1:34" s="227" customFormat="1" ht="20.100000000000001" customHeight="1">
      <c r="A11" s="262" t="s">
        <v>773</v>
      </c>
      <c r="B11" s="182" t="str">
        <f ca="1">IF(LEN(A11)=0,"",INDEX('Smelter Look-up'!$A:$A,MATCH($A11,'Smelter Look-up'!$E:$E,0)))</f>
        <v>Tin</v>
      </c>
      <c r="C11" s="186" t="str">
        <f ca="1">IF(LEN(A11)=0,"",INDEX('Smelter Look-up'!$C:$C,MATCH($A11,'Smelter Look-up'!$E:$E,0)))</f>
        <v>PT Artha Cipta Langgeng</v>
      </c>
      <c r="D11" s="230"/>
      <c r="E11" s="182" t="str">
        <f ca="1">IF(ISERROR($V11),"",OFFSET('Smelter Look-up'!$D$4,$V11-4,0)&amp;"")</f>
        <v>INDONESIA</v>
      </c>
      <c r="F11" s="182" t="str">
        <f ca="1">IF(ISERROR($V11),"",OFFSET('Smelter Look-up'!$E$4,$V11-4,0))</f>
        <v>CID001399</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Artha Cipta Langgeng</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504</v>
      </c>
      <c r="X11" s="227">
        <f t="shared" ca="1" si="3"/>
        <v>0</v>
      </c>
      <c r="AB11" s="228" t="str">
        <f t="shared" ca="1" si="4"/>
        <v>TinPT Artha Cipta Langgeng</v>
      </c>
    </row>
    <row r="12" spans="1:34" s="227" customFormat="1" ht="20.100000000000001" customHeight="1">
      <c r="A12" s="262" t="s">
        <v>15076</v>
      </c>
      <c r="B12" s="182" t="str">
        <f ca="1">IF(LEN(A12)=0,"",INDEX('Smelter Look-up'!$A:$A,MATCH($A12,'Smelter Look-up'!$E:$E,0)))</f>
        <v>Tin</v>
      </c>
      <c r="C12" s="186" t="str">
        <f ca="1">IF(LEN(A12)=0,"",INDEX('Smelter Look-up'!$C:$C,MATCH($A12,'Smelter Look-up'!$E:$E,0)))</f>
        <v>PT Babel Surya Alam Lestari</v>
      </c>
      <c r="D12" s="230"/>
      <c r="E12" s="182" t="str">
        <f ca="1">IF(ISERROR($V12),"",OFFSET('Smelter Look-up'!$D$4,$V12-4,0)&amp;"")</f>
        <v>INDONESIA</v>
      </c>
      <c r="F12" s="182" t="str">
        <f ca="1">IF(ISERROR($V12),"",OFFSET('Smelter Look-up'!$E$4,$V12-4,0))</f>
        <v>CID001406</v>
      </c>
      <c r="G12" s="182" t="str">
        <f ca="1">IF(C12=$X$4,IF(ISERROR($V12),"Enter smelter details","RMI"),IF(ISERROR($V12),"",OFFSET('Smelter Look-up'!$F$4,$V12-4,0)))</f>
        <v>RMI</v>
      </c>
      <c r="H12" s="183">
        <f ca="1">IF(ISERROR($V12),"",OFFSET('Smelter Look-up'!$G$4,$V12-4,0))</f>
        <v>0</v>
      </c>
      <c r="I12" s="184" t="str">
        <f ca="1">IF(ISERROR($V12),"",OFFSET('Smelter Look-up'!$H$4,$V12-4,0))</f>
        <v>Badau</v>
      </c>
      <c r="J12" s="184" t="str">
        <f ca="1">IF(ISERROR($V12),"",OFFSET('Smelter Look-up'!$I$4,$V12-4,0))</f>
        <v>Kepulauan Bangka Belitung</v>
      </c>
      <c r="K12" s="224"/>
      <c r="L12" s="224"/>
      <c r="M12" s="224"/>
      <c r="N12" s="224"/>
      <c r="O12" s="224"/>
      <c r="P12" s="185"/>
      <c r="Q12" s="225"/>
      <c r="R12" s="182" t="str">
        <f ca="1">IF(ISERROR($V12),"",OFFSET('Smelter Look-up'!$C$4,$V12-4,0)&amp;"")</f>
        <v>PT Babel Surya Alam Lestari</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507</v>
      </c>
      <c r="X12" s="227">
        <f t="shared" ca="1" si="3"/>
        <v>0</v>
      </c>
      <c r="AB12" s="228" t="str">
        <f t="shared" ca="1" si="4"/>
        <v>TinPT Babel Surya Alam Lestari</v>
      </c>
    </row>
    <row r="13" spans="1:34" s="227" customFormat="1" ht="20.100000000000001" customHeight="1">
      <c r="A13" s="262" t="s">
        <v>774</v>
      </c>
      <c r="B13" s="182" t="str">
        <f ca="1">IF(LEN(A13)=0,"",INDEX('Smelter Look-up'!$A:$A,MATCH($A13,'Smelter Look-up'!$E:$E,0)))</f>
        <v>Tin</v>
      </c>
      <c r="C13" s="186" t="str">
        <f ca="1">IF(LEN(A13)=0,"",INDEX('Smelter Look-up'!$C:$C,MATCH($A13,'Smelter Look-up'!$E:$E,0)))</f>
        <v>PT Mitra Stania Prima</v>
      </c>
      <c r="D13" s="230"/>
      <c r="E13" s="182" t="str">
        <f ca="1">IF(ISERROR($V13),"",OFFSET('Smelter Look-up'!$D$4,$V13-4,0)&amp;"")</f>
        <v>INDONESIA</v>
      </c>
      <c r="F13" s="182" t="str">
        <f ca="1">IF(ISERROR($V13),"",OFFSET('Smelter Look-up'!$E$4,$V13-4,0))</f>
        <v>CID001453</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518</v>
      </c>
      <c r="X13" s="227">
        <f t="shared" ca="1" si="3"/>
        <v>0</v>
      </c>
      <c r="AB13" s="228" t="str">
        <f t="shared" ca="1" si="4"/>
        <v>TinPT Mitra Stania Prima</v>
      </c>
    </row>
    <row r="14" spans="1:34" s="227" customFormat="1" ht="20.100000000000001" customHeight="1">
      <c r="A14" s="262" t="s">
        <v>775</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526</v>
      </c>
      <c r="X14" s="227">
        <f t="shared" ca="1" si="3"/>
        <v>0</v>
      </c>
      <c r="AB14" s="228" t="str">
        <f t="shared" ca="1" si="4"/>
        <v>TinPT Refined Bangka Tin</v>
      </c>
    </row>
    <row r="15" spans="1:34" s="227" customFormat="1" ht="20.100000000000001" customHeight="1">
      <c r="A15" s="262" t="s">
        <v>15457</v>
      </c>
      <c r="B15" s="182" t="str">
        <f ca="1">IF(LEN(A15)=0,"",INDEX('Smelter Look-up'!$A:$A,MATCH($A15,'Smelter Look-up'!$E:$E,0)))</f>
        <v>Tin</v>
      </c>
      <c r="C15" s="186" t="str">
        <f ca="1">IF(LEN(A15)=0,"",INDEX('Smelter Look-up'!$C:$C,MATCH($A15,'Smelter Look-up'!$E:$E,0)))</f>
        <v>PT Sariwiguna Binasentosa</v>
      </c>
      <c r="D15" s="230"/>
      <c r="E15" s="182" t="str">
        <f ca="1">IF(ISERROR($V15),"",OFFSET('Smelter Look-up'!$D$4,$V15-4,0)&amp;"")</f>
        <v>INDONESIA</v>
      </c>
      <c r="F15" s="182" t="str">
        <f ca="1">IF(ISERROR($V15),"",OFFSET('Smelter Look-up'!$E$4,$V15-4,0))</f>
        <v>CID001463</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Sariwiguna Binasentosa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527</v>
      </c>
      <c r="X15" s="227">
        <f t="shared" ca="1" si="3"/>
        <v>0</v>
      </c>
      <c r="AB15" s="228" t="str">
        <f t="shared" ca="1" si="4"/>
        <v>TinPT Sariwiguna Binasentosa</v>
      </c>
    </row>
    <row r="16" spans="1:34" s="227" customFormat="1" ht="20.100000000000001" customHeight="1">
      <c r="A16" s="262" t="s">
        <v>794</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532</v>
      </c>
      <c r="X16" s="227">
        <f t="shared" ca="1" si="3"/>
        <v>0</v>
      </c>
      <c r="AB16" s="228" t="str">
        <f t="shared" ca="1" si="4"/>
        <v>TinPT Timah Tbk Kundur</v>
      </c>
    </row>
    <row r="17" spans="1:28" s="227" customFormat="1" ht="20.100000000000001" customHeight="1">
      <c r="A17" s="262" t="s">
        <v>776</v>
      </c>
      <c r="B17" s="182" t="str">
        <f ca="1">IF(LEN(A17)=0,"",INDEX('Smelter Look-up'!$A:$A,MATCH($A17,'Smelter Look-up'!$E:$E,0)))</f>
        <v>Tin</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533</v>
      </c>
      <c r="X17" s="227">
        <f t="shared" ca="1" si="3"/>
        <v>0</v>
      </c>
      <c r="AB17" s="228" t="str">
        <f t="shared" ca="1" si="4"/>
        <v>TinPT Timah Tbk Mentok</v>
      </c>
    </row>
    <row r="18" spans="1:28" s="227" customFormat="1" ht="20.100000000000001" customHeight="1">
      <c r="A18" s="181" t="s">
        <v>15088</v>
      </c>
      <c r="B18" s="182" t="str">
        <f ca="1">IF(LEN(A18)=0,"",INDEX('Smelter Look-up'!$A:$A,MATCH($A18,'Smelter Look-up'!$E:$E,0)))</f>
        <v>Tin</v>
      </c>
      <c r="C18" s="186" t="str">
        <f ca="1">IF(LEN(A18)=0,"",INDEX('Smelter Look-up'!$C:$C,MATCH($A18,'Smelter Look-up'!$E:$E,0)))</f>
        <v>PT Tinindo Inter Nusa</v>
      </c>
      <c r="D18" s="230"/>
      <c r="E18" s="182" t="str">
        <f ca="1">IF(ISERROR($V18),"",OFFSET('Smelter Look-up'!$D$4,$V18-4,0)&amp;"")</f>
        <v>INDONESIA</v>
      </c>
      <c r="F18" s="182" t="str">
        <f ca="1">IF(ISERROR($V18),"",OFFSET('Smelter Look-up'!$E$4,$V18-4,0))</f>
        <v>CID001490</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Tinindo Inter Nusa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534</v>
      </c>
      <c r="X18" s="227">
        <f t="shared" ca="1" si="3"/>
        <v>0</v>
      </c>
      <c r="AB18" s="228" t="str">
        <f t="shared" ca="1" si="4"/>
        <v>TinPT Tinindo Inter Nusa</v>
      </c>
    </row>
    <row r="19" spans="1:28" s="227" customFormat="1" ht="25.5">
      <c r="A19" s="181" t="s">
        <v>779</v>
      </c>
      <c r="B19" s="182" t="str">
        <f ca="1">IF(LEN(A19)=0,"",INDEX('Smelter Look-up'!$A:$A,MATCH($A19,'Smelter Look-up'!$E:$E,0)))</f>
        <v>Tin</v>
      </c>
      <c r="C19" s="186" t="str">
        <f ca="1">IF(LEN(A19)=0,"",INDEX('Smelter Look-up'!$C:$C,MATCH($A19,'Smelter Look-up'!$E:$E,0)))</f>
        <v>Thaisarco</v>
      </c>
      <c r="D19" s="230"/>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4"/>
      <c r="L19" s="224"/>
      <c r="M19" s="224"/>
      <c r="N19" s="224"/>
      <c r="O19" s="224"/>
      <c r="P19" s="185"/>
      <c r="Q19" s="225"/>
      <c r="R19" s="182" t="str">
        <f ca="1">IF(ISERROR($V19),"",OFFSET('Smelter Look-up'!$C$4,$V19-4,0)&amp;"")</f>
        <v>Thaisarco</v>
      </c>
      <c r="S19" s="181" t="str">
        <f t="shared" ca="1" si="2"/>
        <v>TH</v>
      </c>
      <c r="T19" s="181" t="str">
        <f ca="1">IF(B19="","",IF(ISERROR(MATCH($J19,SorP!$B$1:$B$6226,0)),"",INDIRECT("'SorP'!$A$"&amp;MATCH($S19&amp;$J19,SorP!C:C,0))))</f>
        <v>TH-83</v>
      </c>
      <c r="U19" s="201"/>
      <c r="V19" s="226">
        <f ca="1">IF(C19="",NA(),IF(OR(C19="Smelter not listed",C19="Smelter not yet identified"),MATCH($B19&amp;$D19,'Smelter Look-up'!$J:$J,0),MATCH($B19&amp;$C19,'Smelter Look-up'!$J:$J,0)))</f>
        <v>547</v>
      </c>
      <c r="X19" s="227">
        <f t="shared" ca="1" si="3"/>
        <v>0</v>
      </c>
      <c r="AB19" s="228" t="str">
        <f t="shared" ca="1" si="4"/>
        <v>TinThaisarco</v>
      </c>
    </row>
    <row r="20" spans="1:28" s="227" customFormat="1" ht="89.25">
      <c r="A20" s="181" t="s">
        <v>780</v>
      </c>
      <c r="B20" s="182" t="str">
        <f ca="1">IF(LEN(A20)=0,"",INDEX('Smelter Look-up'!$A:$A,MATCH($A20,'Smelter Look-up'!$E:$E,0)))</f>
        <v>Tin</v>
      </c>
      <c r="C20" s="186" t="str">
        <f ca="1">IF(LEN(A20)=0,"",INDEX('Smelter Look-up'!$C:$C,MATCH($A20,'Smelter Look-up'!$E:$E,0)))</f>
        <v>White Solder Metalurgia e Mineracao Ltda.</v>
      </c>
      <c r="D20" s="230"/>
      <c r="E20" s="182" t="str">
        <f ca="1">IF(ISERROR($V20),"",OFFSET('Smelter Look-up'!$D$4,$V20-4,0)&amp;"")</f>
        <v>BRAZIL</v>
      </c>
      <c r="F20" s="182" t="str">
        <f ca="1">IF(ISERROR($V20),"",OFFSET('Smelter Look-up'!$E$4,$V20-4,0))</f>
        <v>CID002036</v>
      </c>
      <c r="G20" s="182" t="str">
        <f ca="1">IF(C20=$X$4,IF(ISERROR($V20),"Enter smelter details","RMI"),IF(ISERROR($V20),"",OFFSET('Smelter Look-up'!$F$4,$V20-4,0)))</f>
        <v>RMI</v>
      </c>
      <c r="H20" s="183">
        <f ca="1">IF(ISERROR($V20),"",OFFSET('Smelter Look-up'!$G$4,$V20-4,0))</f>
        <v>0</v>
      </c>
      <c r="I20" s="184" t="str">
        <f ca="1">IF(ISERROR($V20),"",OFFSET('Smelter Look-up'!$H$4,$V20-4,0))</f>
        <v>Ariquemes</v>
      </c>
      <c r="J20" s="184" t="str">
        <f ca="1">IF(ISERROR($V20),"",OFFSET('Smelter Look-up'!$I$4,$V20-4,0))</f>
        <v>Rondônia</v>
      </c>
      <c r="K20" s="224"/>
      <c r="L20" s="224"/>
      <c r="M20" s="224"/>
      <c r="N20" s="224"/>
      <c r="O20" s="224"/>
      <c r="P20" s="185"/>
      <c r="Q20" s="225"/>
      <c r="R20" s="182" t="str">
        <f ca="1">IF(ISERROR($V20),"",OFFSET('Smelter Look-up'!$C$4,$V20-4,0)&amp;"")</f>
        <v>White Solder Metalurgia e Mineracao Ltda.</v>
      </c>
      <c r="S20" s="181" t="str">
        <f t="shared" ca="1" si="2"/>
        <v>BR</v>
      </c>
      <c r="T20" s="181" t="str">
        <f ca="1">IF(B20="","",IF(ISERROR(MATCH($J20,SorP!$B$1:$B$6226,0)),"",INDIRECT("'SorP'!$A$"&amp;MATCH($S20&amp;$J20,SorP!C:C,0))))</f>
        <v>BR-RO</v>
      </c>
      <c r="U20" s="201"/>
      <c r="V20" s="226">
        <f ca="1">IF(C20="",NA(),IF(OR(C20="Smelter not listed",C20="Smelter not yet identified"),MATCH($B20&amp;$D20,'Smelter Look-up'!$J:$J,0),MATCH($B20&amp;$C20,'Smelter Look-up'!$J:$J,0)))</f>
        <v>556</v>
      </c>
      <c r="X20" s="227">
        <f t="shared" ca="1" si="3"/>
        <v>0</v>
      </c>
      <c r="AB20" s="228" t="str">
        <f t="shared" ca="1" si="4"/>
        <v>TinWhite Solder Metalurgia e Mineracao Ltda.</v>
      </c>
    </row>
    <row r="21" spans="1:28" s="227" customFormat="1" ht="102">
      <c r="A21" s="181" t="s">
        <v>782</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550</v>
      </c>
      <c r="X21" s="227">
        <f t="shared" ca="1" si="3"/>
        <v>0</v>
      </c>
      <c r="AB21" s="228" t="str">
        <f t="shared" ca="1" si="4"/>
        <v>TinTin Smelting Branch of Yunnan Tin Co., Ltd.</v>
      </c>
    </row>
    <row r="22" spans="1:28" s="227" customFormat="1" ht="51">
      <c r="A22" s="181" t="s">
        <v>15065</v>
      </c>
      <c r="B22" s="182" t="str">
        <f ca="1">IF(LEN(A22)=0,"",INDEX('Smelter Look-up'!$A:$A,MATCH($A22,'Smelter Look-up'!$E:$E,0)))</f>
        <v>Tin</v>
      </c>
      <c r="C22" s="186" t="str">
        <f ca="1">IF(LEN(A22)=0,"",INDEX('Smelter Look-up'!$C:$C,MATCH($A22,'Smelter Look-up'!$E:$E,0)))</f>
        <v>CV Venus Inti Perkasa</v>
      </c>
      <c r="D22" s="230"/>
      <c r="E22" s="182" t="str">
        <f ca="1">IF(ISERROR($V22),"",OFFSET('Smelter Look-up'!$D$4,$V22-4,0)&amp;"")</f>
        <v>INDONESIA</v>
      </c>
      <c r="F22" s="182" t="str">
        <f ca="1">IF(ISERROR($V22),"",OFFSET('Smelter Look-up'!$E$4,$V22-4,0))</f>
        <v>CID002455</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CV Venus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427</v>
      </c>
      <c r="X22" s="227">
        <f t="shared" ca="1" si="3"/>
        <v>0</v>
      </c>
      <c r="AB22" s="228" t="str">
        <f t="shared" ca="1" si="4"/>
        <v>TinCV Venus Inti Perkasa</v>
      </c>
    </row>
    <row r="23" spans="1:28" s="227" customFormat="1" ht="63.75">
      <c r="A23" s="181" t="s">
        <v>1392</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505</v>
      </c>
      <c r="X23" s="227">
        <f t="shared" ca="1" si="3"/>
        <v>0</v>
      </c>
      <c r="AB23" s="228" t="str">
        <f t="shared" ca="1" si="4"/>
        <v>TinPT ATD Makmur Mandiri Jaya</v>
      </c>
    </row>
    <row r="24" spans="1:28" s="227" customFormat="1" ht="51">
      <c r="A24" s="181" t="s">
        <v>15448</v>
      </c>
      <c r="B24" s="182" t="str">
        <f ca="1">IF(LEN(A24)=0,"",INDEX('Smelter Look-up'!$A:$A,MATCH($A24,'Smelter Look-up'!$E:$E,0)))</f>
        <v>Tin</v>
      </c>
      <c r="C24" s="186" t="str">
        <f ca="1">IF(LEN(A24)=0,"",INDEX('Smelter Look-up'!$C:$C,MATCH($A24,'Smelter Look-up'!$E:$E,0)))</f>
        <v>PT Cipta Persada Mulia</v>
      </c>
      <c r="D24" s="230"/>
      <c r="E24" s="182" t="str">
        <f ca="1">IF(ISERROR($V24),"",OFFSET('Smelter Look-up'!$D$4,$V24-4,0)&amp;"")</f>
        <v>INDONESIA</v>
      </c>
      <c r="F24" s="182" t="str">
        <f ca="1">IF(ISERROR($V24),"",OFFSET('Smelter Look-up'!$E$4,$V24-4,0))</f>
        <v>CID002696</v>
      </c>
      <c r="G24" s="182" t="str">
        <f ca="1">IF(C24=$X$4,IF(ISERROR($V24),"Enter smelter details","RMI"),IF(ISERROR($V24),"",OFFSET('Smelter Look-up'!$F$4,$V24-4,0)))</f>
        <v>RMI</v>
      </c>
      <c r="H24" s="183">
        <f ca="1">IF(ISERROR($V24),"",OFFSET('Smelter Look-up'!$G$4,$V24-4,0))</f>
        <v>0</v>
      </c>
      <c r="I24" s="184" t="str">
        <f ca="1">IF(ISERROR($V24),"",OFFSET('Smelter Look-up'!$H$4,$V24-4,0))</f>
        <v>Batam</v>
      </c>
      <c r="J24" s="184" t="str">
        <f ca="1">IF(ISERROR($V24),"",OFFSET('Smelter Look-up'!$I$4,$V24-4,0))</f>
        <v>Kepulauan Riau</v>
      </c>
      <c r="K24" s="224"/>
      <c r="L24" s="224"/>
      <c r="M24" s="224"/>
      <c r="N24" s="224"/>
      <c r="O24" s="224"/>
      <c r="P24" s="185"/>
      <c r="Q24" s="225"/>
      <c r="R24" s="182" t="str">
        <f ca="1">IF(ISERROR($V24),"",OFFSET('Smelter Look-up'!$C$4,$V24-4,0)&amp;"")</f>
        <v>PT Cipta Persada Mulia</v>
      </c>
      <c r="S24" s="181" t="str">
        <f t="shared" ca="1" si="2"/>
        <v>ID</v>
      </c>
      <c r="T24" s="181" t="str">
        <f ca="1">IF(B24="","",IF(ISERROR(MATCH($J24,SorP!$B$1:$B$6226,0)),"",INDIRECT("'SorP'!$A$"&amp;MATCH($S24&amp;$J24,SorP!C:C,0))))</f>
        <v>ID-KR</v>
      </c>
      <c r="U24" s="201"/>
      <c r="V24" s="226">
        <f ca="1">IF(C24="",NA(),IF(OR(C24="Smelter not listed",C24="Smelter not yet identified"),MATCH($B24&amp;$D24,'Smelter Look-up'!$J:$J,0),MATCH($B24&amp;$C24,'Smelter Look-up'!$J:$J,0)))</f>
        <v>513</v>
      </c>
      <c r="X24" s="227">
        <f t="shared" ca="1" si="3"/>
        <v>0</v>
      </c>
      <c r="AB24" s="228" t="str">
        <f t="shared" ca="1" si="4"/>
        <v>TinPT Cipta Persada Mulia</v>
      </c>
    </row>
    <row r="25" spans="1:28" s="227" customFormat="1" ht="38.25">
      <c r="A25" s="181" t="s">
        <v>1801</v>
      </c>
      <c r="B25" s="182" t="str">
        <f ca="1">IF(LEN(A25)=0,"",INDEX('Smelter Look-up'!$A:$A,MATCH($A25,'Smelter Look-up'!$E:$E,0)))</f>
        <v>Tin</v>
      </c>
      <c r="C25" s="186" t="str">
        <f ca="1">IF(LEN(A25)=0,"",INDEX('Smelter Look-up'!$C:$C,MATCH($A25,'Smelter Look-up'!$E:$E,0)))</f>
        <v>Aurubis Beerse</v>
      </c>
      <c r="D25" s="230"/>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4"/>
      <c r="L25" s="224"/>
      <c r="M25" s="224"/>
      <c r="N25" s="224"/>
      <c r="O25" s="224"/>
      <c r="P25" s="185"/>
      <c r="Q25" s="225"/>
      <c r="R25" s="182" t="str">
        <f ca="1">IF(ISERROR($V25),"",OFFSET('Smelter Look-up'!$C$4,$V25-4,0)&amp;"")</f>
        <v>Aurubis Beerse</v>
      </c>
      <c r="S25" s="181" t="str">
        <f t="shared" ca="1" si="2"/>
        <v>BE</v>
      </c>
      <c r="T25" s="181" t="str">
        <f ca="1">IF(B25="","",IF(ISERROR(MATCH($J25,SorP!$B$1:$B$6226,0)),"",INDIRECT("'SorP'!$A$"&amp;MATCH($S25&amp;$J25,SorP!C:C,0))))</f>
        <v>BE-VAN</v>
      </c>
      <c r="U25" s="201"/>
      <c r="V25" s="226">
        <f ca="1">IF(C25="",NA(),IF(OR(C25="Smelter not listed",C25="Smelter not yet identified"),MATCH($B25&amp;$D25,'Smelter Look-up'!$J:$J,0),MATCH($B25&amp;$C25,'Smelter Look-up'!$J:$J,0)))</f>
        <v>405</v>
      </c>
      <c r="X25" s="227">
        <f t="shared" ca="1" si="3"/>
        <v>0</v>
      </c>
      <c r="AB25" s="228" t="str">
        <f t="shared" ca="1" si="4"/>
        <v>TinAurubis Beerse</v>
      </c>
    </row>
    <row r="26" spans="1:28" s="227" customFormat="1" ht="63.75">
      <c r="A26" s="181" t="s">
        <v>15458</v>
      </c>
      <c r="B26" s="182" t="str">
        <f ca="1">IF(LEN(A26)=0,"",INDEX('Smelter Look-up'!$A:$A,MATCH($A26,'Smelter Look-up'!$E:$E,0)))</f>
        <v>Tin</v>
      </c>
      <c r="C26" s="186" t="str">
        <f ca="1">IF(LEN(A26)=0,"",INDEX('Smelter Look-up'!$C:$C,MATCH($A26,'Smelter Look-up'!$E:$E,0)))</f>
        <v>PT Sukses Inti Makmur (SIM)</v>
      </c>
      <c r="D26" s="230"/>
      <c r="E26" s="182" t="str">
        <f ca="1">IF(ISERROR($V26),"",OFFSET('Smelter Look-up'!$D$4,$V26-4,0)&amp;"")</f>
        <v>INDONESIA</v>
      </c>
      <c r="F26" s="182" t="str">
        <f ca="1">IF(ISERROR($V26),"",OFFSET('Smelter Look-up'!$E$4,$V26-4,0))</f>
        <v>CID002816</v>
      </c>
      <c r="G26" s="182" t="str">
        <f ca="1">IF(C26=$X$4,IF(ISERROR($V26),"Enter smelter details","RMI"),IF(ISERROR($V26),"",OFFSET('Smelter Look-up'!$F$4,$V26-4,0)))</f>
        <v>RMI</v>
      </c>
      <c r="H26" s="183">
        <f ca="1">IF(ISERROR($V26),"",OFFSET('Smelter Look-up'!$G$4,$V26-4,0))</f>
        <v>0</v>
      </c>
      <c r="I26" s="184" t="str">
        <f ca="1">IF(ISERROR($V26),"",OFFSET('Smelter Look-up'!$H$4,$V26-4,0))</f>
        <v>Belitung</v>
      </c>
      <c r="J26" s="184" t="str">
        <f ca="1">IF(ISERROR($V26),"",OFFSET('Smelter Look-up'!$I$4,$V26-4,0))</f>
        <v>Kepulauan Bangka Belitung</v>
      </c>
      <c r="K26" s="224"/>
      <c r="L26" s="224"/>
      <c r="M26" s="224"/>
      <c r="N26" s="224"/>
      <c r="O26" s="224"/>
      <c r="P26" s="185"/>
      <c r="Q26" s="225"/>
      <c r="R26" s="182" t="str">
        <f ca="1">IF(ISERROR($V26),"",OFFSET('Smelter Look-up'!$C$4,$V26-4,0)&amp;"")</f>
        <v>PT Sukses Inti Makmur (SIM)</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529</v>
      </c>
      <c r="X26" s="227">
        <f t="shared" ca="1" si="3"/>
        <v>0</v>
      </c>
      <c r="AB26" s="228" t="str">
        <f t="shared" ca="1" si="4"/>
        <v>TinPT Sukses Inti Makmur (SIM)</v>
      </c>
    </row>
    <row r="27" spans="1:28" s="227" customFormat="1" ht="51">
      <c r="A27" s="181" t="s">
        <v>15078</v>
      </c>
      <c r="B27" s="182" t="str">
        <f ca="1">IF(LEN(A27)=0,"",INDEX('Smelter Look-up'!$A:$A,MATCH($A27,'Smelter Look-up'!$E:$E,0)))</f>
        <v>Tin</v>
      </c>
      <c r="C27" s="186" t="str">
        <f ca="1">IF(LEN(A27)=0,"",INDEX('Smelter Look-up'!$C:$C,MATCH($A27,'Smelter Look-up'!$E:$E,0)))</f>
        <v>PT Menara Cipta Mulia</v>
      </c>
      <c r="D27" s="230"/>
      <c r="E27" s="182" t="str">
        <f ca="1">IF(ISERROR($V27),"",OFFSET('Smelter Look-up'!$D$4,$V27-4,0)&amp;"")</f>
        <v>INDONESIA</v>
      </c>
      <c r="F27" s="182" t="str">
        <f ca="1">IF(ISERROR($V27),"",OFFSET('Smelter Look-up'!$E$4,$V27-4,0))</f>
        <v>CID002835</v>
      </c>
      <c r="G27" s="182" t="str">
        <f ca="1">IF(C27=$X$4,IF(ISERROR($V27),"Enter smelter details","RMI"),IF(ISERROR($V27),"",OFFSET('Smelter Look-up'!$F$4,$V27-4,0)))</f>
        <v>RMI</v>
      </c>
      <c r="H27" s="183">
        <f ca="1">IF(ISERROR($V27),"",OFFSET('Smelter Look-up'!$G$4,$V27-4,0))</f>
        <v>0</v>
      </c>
      <c r="I27" s="184" t="str">
        <f ca="1">IF(ISERROR($V27),"",OFFSET('Smelter Look-up'!$H$4,$V27-4,0))</f>
        <v>Mentawak</v>
      </c>
      <c r="J27" s="184" t="str">
        <f ca="1">IF(ISERROR($V27),"",OFFSET('Smelter Look-up'!$I$4,$V27-4,0))</f>
        <v>Kepulauan Bangka Belitung</v>
      </c>
      <c r="K27" s="224"/>
      <c r="L27" s="224"/>
      <c r="M27" s="224"/>
      <c r="N27" s="224"/>
      <c r="O27" s="224"/>
      <c r="P27" s="185"/>
      <c r="Q27" s="225"/>
      <c r="R27" s="182" t="str">
        <f ca="1">IF(ISERROR($V27),"",OFFSET('Smelter Look-up'!$C$4,$V27-4,0)&amp;"")</f>
        <v>PT Menara Cipta Mulia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516</v>
      </c>
      <c r="X27" s="227">
        <f t="shared" ca="1" si="3"/>
        <v>0</v>
      </c>
      <c r="AB27" s="228" t="str">
        <f t="shared" ca="1" si="4"/>
        <v>TinPT Menara Cipta Mulia</v>
      </c>
    </row>
    <row r="28" spans="1:28" s="227" customFormat="1" ht="51">
      <c r="A28" s="181" t="s">
        <v>14001</v>
      </c>
      <c r="B28" s="182" t="str">
        <f ca="1">IF(LEN(A28)=0,"",INDEX('Smelter Look-up'!$A:$A,MATCH($A28,'Smelter Look-up'!$E:$E,0)))</f>
        <v>Tin</v>
      </c>
      <c r="C28" s="186" t="str">
        <f ca="1">IF(LEN(A28)=0,"",INDEX('Smelter Look-up'!$C:$C,MATCH($A28,'Smelter Look-up'!$E:$E,0)))</f>
        <v>PT Bangka Serumpun</v>
      </c>
      <c r="D28" s="230"/>
      <c r="E28" s="182" t="str">
        <f ca="1">IF(ISERROR($V28),"",OFFSET('Smelter Look-up'!$D$4,$V28-4,0)&amp;"")</f>
        <v>INDONESIA</v>
      </c>
      <c r="F28" s="182" t="str">
        <f ca="1">IF(ISERROR($V28),"",OFFSET('Smelter Look-up'!$E$4,$V28-4,0))</f>
        <v>CID003205</v>
      </c>
      <c r="G28" s="182" t="str">
        <f ca="1">IF(C28=$X$4,IF(ISERROR($V28),"Enter smelter details","RMI"),IF(ISERROR($V28),"",OFFSET('Smelter Look-up'!$F$4,$V28-4,0)))</f>
        <v>RMI</v>
      </c>
      <c r="H28" s="183">
        <f ca="1">IF(ISERROR($V28),"",OFFSET('Smelter Look-up'!$G$4,$V28-4,0))</f>
        <v>0</v>
      </c>
      <c r="I28" s="184" t="str">
        <f ca="1">IF(ISERROR($V28),"",OFFSET('Smelter Look-up'!$H$4,$V28-4,0))</f>
        <v>Pangkalpinang</v>
      </c>
      <c r="J28" s="184" t="str">
        <f ca="1">IF(ISERROR($V28),"",OFFSET('Smelter Look-up'!$I$4,$V28-4,0))</f>
        <v>Kepulauan Bangka Belitung</v>
      </c>
      <c r="K28" s="224"/>
      <c r="L28" s="224"/>
      <c r="M28" s="224"/>
      <c r="N28" s="224"/>
      <c r="O28" s="224"/>
      <c r="P28" s="185"/>
      <c r="Q28" s="225"/>
      <c r="R28" s="182" t="str">
        <f ca="1">IF(ISERROR($V28),"",OFFSET('Smelter Look-up'!$C$4,$V28-4,0)&amp;"")</f>
        <v>PT Bangka Serumpun</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509</v>
      </c>
      <c r="X28" s="227">
        <f t="shared" ca="1" si="3"/>
        <v>0</v>
      </c>
      <c r="AB28" s="228" t="str">
        <f t="shared" ca="1" si="4"/>
        <v>TinPT Bangka Serumpun</v>
      </c>
    </row>
    <row r="29" spans="1:28" s="227" customFormat="1" ht="51">
      <c r="A29" s="181" t="s">
        <v>15082</v>
      </c>
      <c r="B29" s="182" t="str">
        <f ca="1">IF(LEN(A29)=0,"",INDEX('Smelter Look-up'!$A:$A,MATCH($A29,'Smelter Look-up'!$E:$E,0)))</f>
        <v>Tin</v>
      </c>
      <c r="C29" s="186" t="str">
        <f ca="1">IF(LEN(A29)=0,"",INDEX('Smelter Look-up'!$C:$C,MATCH($A29,'Smelter Look-up'!$E:$E,0)))</f>
        <v>PT Rajawali Rimba Perkasa</v>
      </c>
      <c r="D29" s="230"/>
      <c r="E29" s="182" t="str">
        <f ca="1">IF(ISERROR($V29),"",OFFSET('Smelter Look-up'!$D$4,$V29-4,0)&amp;"")</f>
        <v>INDONESIA</v>
      </c>
      <c r="F29" s="182" t="str">
        <f ca="1">IF(ISERROR($V29),"",OFFSET('Smelter Look-up'!$E$4,$V29-4,0))</f>
        <v>CID003381</v>
      </c>
      <c r="G29" s="182" t="str">
        <f ca="1">IF(C29=$X$4,IF(ISERROR($V29),"Enter smelter details","RMI"),IF(ISERROR($V29),"",OFFSET('Smelter Look-up'!$F$4,$V29-4,0)))</f>
        <v>RMI</v>
      </c>
      <c r="H29" s="183">
        <f ca="1">IF(ISERROR($V29),"",OFFSET('Smelter Look-up'!$G$4,$V29-4,0))</f>
        <v>0</v>
      </c>
      <c r="I29" s="184" t="str">
        <f ca="1">IF(ISERROR($V29),"",OFFSET('Smelter Look-up'!$H$4,$V29-4,0))</f>
        <v>Tukak Sadai</v>
      </c>
      <c r="J29" s="184" t="str">
        <f ca="1">IF(ISERROR($V29),"",OFFSET('Smelter Look-up'!$I$4,$V29-4,0))</f>
        <v>Kepulauan Bangka Belitung</v>
      </c>
      <c r="K29" s="224"/>
      <c r="L29" s="224"/>
      <c r="M29" s="224"/>
      <c r="N29" s="224"/>
      <c r="O29" s="224"/>
      <c r="P29" s="185"/>
      <c r="Q29" s="225"/>
      <c r="R29" s="182" t="str">
        <f ca="1">IF(ISERROR($V29),"",OFFSET('Smelter Look-up'!$C$4,$V29-4,0)&amp;"")</f>
        <v>PT Rajawali Rimba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524</v>
      </c>
      <c r="X29" s="227">
        <f t="shared" ca="1" si="3"/>
        <v>0</v>
      </c>
      <c r="AB29" s="228" t="str">
        <f t="shared" ca="1" si="4"/>
        <v>TinPT Rajawali Rimba Perkasa</v>
      </c>
    </row>
    <row r="30" spans="1:28" s="227" customFormat="1" ht="38.25">
      <c r="A30" s="181" t="s">
        <v>13840</v>
      </c>
      <c r="B30" s="182" t="str">
        <f ca="1">IF(LEN(A30)=0,"",INDEX('Smelter Look-up'!$A:$A,MATCH($A30,'Smelter Look-up'!$E:$E,0)))</f>
        <v>Tin</v>
      </c>
      <c r="C30" s="186" t="str">
        <f ca="1">IF(LEN(A30)=0,"",INDEX('Smelter Look-up'!$C:$C,MATCH($A30,'Smelter Look-up'!$E:$E,0)))</f>
        <v>Luna Smelter, Ltd.</v>
      </c>
      <c r="D30" s="230"/>
      <c r="E30" s="182" t="str">
        <f ca="1">IF(ISERROR($V30),"",OFFSET('Smelter Look-up'!$D$4,$V30-4,0)&amp;"")</f>
        <v>RWANDA</v>
      </c>
      <c r="F30" s="182" t="str">
        <f ca="1">IF(ISERROR($V30),"",OFFSET('Smelter Look-up'!$E$4,$V30-4,0))</f>
        <v>CID003387</v>
      </c>
      <c r="G30" s="182" t="str">
        <f ca="1">IF(C30=$X$4,IF(ISERROR($V30),"Enter smelter details","RMI"),IF(ISERROR($V30),"",OFFSET('Smelter Look-up'!$F$4,$V30-4,0)))</f>
        <v>RMI</v>
      </c>
      <c r="H30" s="183">
        <f ca="1">IF(ISERROR($V30),"",OFFSET('Smelter Look-up'!$G$4,$V30-4,0))</f>
        <v>0</v>
      </c>
      <c r="I30" s="184" t="str">
        <f ca="1">IF(ISERROR($V30),"",OFFSET('Smelter Look-up'!$H$4,$V30-4,0))</f>
        <v>Kigali</v>
      </c>
      <c r="J30" s="184" t="str">
        <f ca="1">IF(ISERROR($V30),"",OFFSET('Smelter Look-up'!$I$4,$V30-4,0))</f>
        <v>City of Kigali</v>
      </c>
      <c r="K30" s="224"/>
      <c r="L30" s="224"/>
      <c r="M30" s="224"/>
      <c r="N30" s="224"/>
      <c r="O30" s="224"/>
      <c r="P30" s="185"/>
      <c r="Q30" s="225"/>
      <c r="R30" s="182" t="str">
        <f ca="1">IF(ISERROR($V30),"",OFFSET('Smelter Look-up'!$C$4,$V30-4,0)&amp;"")</f>
        <v>Luna Smelter, Ltd.</v>
      </c>
      <c r="S30" s="181" t="str">
        <f t="shared" ca="1" si="2"/>
        <v>RW</v>
      </c>
      <c r="T30" s="181" t="str">
        <f ca="1">IF(B30="","",IF(ISERROR(MATCH($J30,SorP!$B$1:$B$6226,0)),"",INDIRECT("'SorP'!$A$"&amp;MATCH($S30&amp;$J30,SorP!C:C,0))))</f>
        <v>RW-01</v>
      </c>
      <c r="U30" s="201"/>
      <c r="V30" s="226">
        <f ca="1">IF(C30="",NA(),IF(OR(C30="Smelter not listed",C30="Smelter not yet identified"),MATCH($B30&amp;$D30,'Smelter Look-up'!$J:$J,0),MATCH($B30&amp;$C30,'Smelter Look-up'!$J:$J,0)))</f>
        <v>471</v>
      </c>
      <c r="X30" s="227">
        <f t="shared" ca="1" si="3"/>
        <v>0</v>
      </c>
      <c r="AB30" s="228" t="str">
        <f t="shared" ca="1" si="4"/>
        <v>TinLuna Smelter, Ltd.</v>
      </c>
    </row>
    <row r="31" spans="1:28" s="227" customFormat="1" ht="63.75">
      <c r="A31" s="181" t="s">
        <v>13841</v>
      </c>
      <c r="B31" s="182" t="str">
        <f ca="1">IF(LEN(A31)=0,"",INDEX('Smelter Look-up'!$A:$A,MATCH($A31,'Smelter Look-up'!$E:$E,0)))</f>
        <v>Tin</v>
      </c>
      <c r="C31" s="186" t="str">
        <f ca="1">IF(LEN(A31)=0,"",INDEX('Smelter Look-up'!$C:$C,MATCH($A31,'Smelter Look-up'!$E:$E,0)))</f>
        <v>PT Mitra Sukses Globalindo</v>
      </c>
      <c r="D31" s="230"/>
      <c r="E31" s="182" t="str">
        <f ca="1">IF(ISERROR($V31),"",OFFSET('Smelter Look-up'!$D$4,$V31-4,0)&amp;"")</f>
        <v>INDONESIA</v>
      </c>
      <c r="F31" s="182" t="str">
        <f ca="1">IF(ISERROR($V31),"",OFFSET('Smelter Look-up'!$E$4,$V31-4,0))</f>
        <v>CID003449</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4"/>
      <c r="L31" s="224"/>
      <c r="M31" s="224"/>
      <c r="N31" s="224"/>
      <c r="O31" s="224"/>
      <c r="P31" s="185"/>
      <c r="Q31" s="225"/>
      <c r="R31" s="182" t="str">
        <f ca="1">IF(ISERROR($V31),"",OFFSET('Smelter Look-up'!$C$4,$V31-4,0)&amp;"")</f>
        <v>PT Mitra Sukses Globalindo</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519</v>
      </c>
      <c r="X31" s="227">
        <f t="shared" ca="1" si="3"/>
        <v>0</v>
      </c>
      <c r="AB31" s="228" t="str">
        <f t="shared" ca="1" si="4"/>
        <v>TinPT Mitra Sukses Globalindo</v>
      </c>
    </row>
    <row r="32" spans="1:28" s="227" customFormat="1" ht="25.5">
      <c r="A32" s="181" t="s">
        <v>647</v>
      </c>
      <c r="B32" s="182" t="str">
        <f ca="1">IF(LEN(A32)=0,"",INDEX('Smelter Look-up'!$A:$A,MATCH($A32,'Smelter Look-up'!$E:$E,0)))</f>
        <v>Gold</v>
      </c>
      <c r="C32" s="186" t="str">
        <f ca="1">IF(LEN(A32)=0,"",INDEX('Smelter Look-up'!$C:$C,MATCH($A32,'Smelter Look-up'!$E:$E,0)))</f>
        <v>Agosi AG</v>
      </c>
      <c r="D32" s="230"/>
      <c r="E32" s="182" t="str">
        <f ca="1">IF(ISERROR($V32),"",OFFSET('Smelter Look-up'!$D$4,$V32-4,0)&amp;"")</f>
        <v>GERMANY</v>
      </c>
      <c r="F32" s="182" t="str">
        <f ca="1">IF(ISERROR($V32),"",OFFSET('Smelter Look-up'!$E$4,$V32-4,0))</f>
        <v>CID000035</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Agosi AG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v>
      </c>
      <c r="X32" s="227">
        <f t="shared" ca="1" si="3"/>
        <v>0</v>
      </c>
      <c r="AB32" s="228" t="str">
        <f t="shared" ca="1" si="4"/>
        <v>GoldAgosi AG</v>
      </c>
    </row>
    <row r="33" spans="1:28" s="227" customFormat="1" ht="51">
      <c r="A33" s="181" t="s">
        <v>650</v>
      </c>
      <c r="B33" s="182" t="str">
        <f ca="1">IF(LEN(A33)=0,"",INDEX('Smelter Look-up'!$A:$A,MATCH($A33,'Smelter Look-up'!$E:$E,0)))</f>
        <v>Gold</v>
      </c>
      <c r="C33" s="186" t="str">
        <f ca="1">IF(LEN(A33)=0,"",INDEX('Smelter Look-up'!$C:$C,MATCH($A33,'Smelter Look-up'!$E:$E,0)))</f>
        <v>Argor-Heraeus S.A.</v>
      </c>
      <c r="D33" s="230"/>
      <c r="E33" s="182" t="str">
        <f ca="1">IF(ISERROR($V33),"",OFFSET('Smelter Look-up'!$D$4,$V33-4,0)&amp;"")</f>
        <v>SWITZERLAND</v>
      </c>
      <c r="F33" s="182" t="str">
        <f ca="1">IF(ISERROR($V33),"",OFFSET('Smelter Look-up'!$E$4,$V33-4,0))</f>
        <v>CID000077</v>
      </c>
      <c r="G33" s="182" t="str">
        <f ca="1">IF(C33=$X$4,IF(ISERROR($V33),"Enter smelter details","RMI"),IF(ISERROR($V33),"",OFFSET('Smelter Look-up'!$F$4,$V33-4,0)))</f>
        <v>RMI</v>
      </c>
      <c r="H33" s="183">
        <f ca="1">IF(ISERROR($V33),"",OFFSET('Smelter Look-up'!$G$4,$V33-4,0))</f>
        <v>0</v>
      </c>
      <c r="I33" s="184" t="str">
        <f ca="1">IF(ISERROR($V33),"",OFFSET('Smelter Look-up'!$H$4,$V33-4,0))</f>
        <v>Mendrisio</v>
      </c>
      <c r="J33" s="184" t="str">
        <f ca="1">IF(ISERROR($V33),"",OFFSET('Smelter Look-up'!$I$4,$V33-4,0))</f>
        <v>Ticino</v>
      </c>
      <c r="K33" s="224"/>
      <c r="L33" s="224"/>
      <c r="M33" s="224"/>
      <c r="N33" s="224"/>
      <c r="O33" s="224"/>
      <c r="P33" s="185"/>
      <c r="Q33" s="225"/>
      <c r="R33" s="182" t="str">
        <f ca="1">IF(ISERROR($V33),"",OFFSET('Smelter Look-up'!$C$4,$V33-4,0)&amp;"")</f>
        <v>Argor-Heraeus S.A.</v>
      </c>
      <c r="S33" s="181" t="str">
        <f t="shared" ca="1" si="2"/>
        <v>CH</v>
      </c>
      <c r="T33" s="181" t="str">
        <f ca="1">IF(B33="","",IF(ISERROR(MATCH($J33,SorP!$B$1:$B$6226,0)),"",INDIRECT("'SorP'!$A$"&amp;MATCH($S33&amp;$J33,SorP!C:C,0))))</f>
        <v>CH-TI</v>
      </c>
      <c r="U33" s="201"/>
      <c r="V33" s="226">
        <f ca="1">IF(C33="",NA(),IF(OR(C33="Smelter not listed",C33="Smelter not yet identified"),MATCH($B33&amp;$D33,'Smelter Look-up'!$J:$J,0),MATCH($B33&amp;$C33,'Smelter Look-up'!$J:$J,0)))</f>
        <v>28</v>
      </c>
      <c r="X33" s="227">
        <f t="shared" ca="1" si="3"/>
        <v>0</v>
      </c>
      <c r="AB33" s="228" t="str">
        <f t="shared" ca="1" si="4"/>
        <v>GoldArgor-Heraeus S.A.</v>
      </c>
    </row>
    <row r="34" spans="1:28" s="227" customFormat="1" ht="25.5">
      <c r="A34" s="181" t="s">
        <v>654</v>
      </c>
      <c r="B34" s="182" t="str">
        <f ca="1">IF(LEN(A34)=0,"",INDEX('Smelter Look-up'!$A:$A,MATCH($A34,'Smelter Look-up'!$E:$E,0)))</f>
        <v>Gold</v>
      </c>
      <c r="C34" s="186" t="str">
        <f ca="1">IF(LEN(A34)=0,"",INDEX('Smelter Look-up'!$C:$C,MATCH($A34,'Smelter Look-up'!$E:$E,0)))</f>
        <v>Aurubis AG</v>
      </c>
      <c r="D34" s="230"/>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4"/>
      <c r="L34" s="224"/>
      <c r="M34" s="224"/>
      <c r="N34" s="224"/>
      <c r="O34" s="224"/>
      <c r="P34" s="185"/>
      <c r="Q34" s="225"/>
      <c r="R34" s="182" t="str">
        <f ca="1">IF(ISERROR($V34),"",OFFSET('Smelter Look-up'!$C$4,$V34-4,0)&amp;"")</f>
        <v>Aurubis AG</v>
      </c>
      <c r="S34" s="181" t="str">
        <f t="shared" ca="1" si="2"/>
        <v>DE</v>
      </c>
      <c r="T34" s="181" t="str">
        <f ca="1">IF(B34="","",IF(ISERROR(MATCH($J34,SorP!$B$1:$B$6226,0)),"",INDIRECT("'SorP'!$A$"&amp;MATCH($S34&amp;$J34,SorP!C:C,0))))</f>
        <v>DE-HH</v>
      </c>
      <c r="U34" s="201"/>
      <c r="V34" s="226">
        <f ca="1">IF(C34="",NA(),IF(OR(C34="Smelter not listed",C34="Smelter not yet identified"),MATCH($B34&amp;$D34,'Smelter Look-up'!$J:$J,0),MATCH($B34&amp;$C34,'Smelter Look-up'!$J:$J,0)))</f>
        <v>38</v>
      </c>
      <c r="X34" s="227">
        <f t="shared" ca="1" si="3"/>
        <v>0</v>
      </c>
      <c r="AB34" s="228" t="str">
        <f t="shared" ca="1" si="4"/>
        <v>GoldAurubis AG</v>
      </c>
    </row>
    <row r="35" spans="1:28" s="227" customFormat="1" ht="51">
      <c r="A35" s="181" t="s">
        <v>658</v>
      </c>
      <c r="B35" s="182" t="str">
        <f ca="1">IF(LEN(A35)=0,"",INDEX('Smelter Look-up'!$A:$A,MATCH($A35,'Smelter Look-up'!$E:$E,0)))</f>
        <v>Gold</v>
      </c>
      <c r="C35" s="186" t="str">
        <f ca="1">IF(LEN(A35)=0,"",INDEX('Smelter Look-up'!$C:$C,MATCH($A35,'Smelter Look-up'!$E:$E,0)))</f>
        <v>C. Hafner GmbH + Co. KG</v>
      </c>
      <c r="D35" s="230"/>
      <c r="E35" s="182" t="str">
        <f ca="1">IF(ISERROR($V35),"",OFFSET('Smelter Look-up'!$D$4,$V35-4,0)&amp;"")</f>
        <v>GERMANY</v>
      </c>
      <c r="F35" s="182" t="str">
        <f ca="1">IF(ISERROR($V35),"",OFFSET('Smelter Look-up'!$E$4,$V35-4,0))</f>
        <v>CID000176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C. Hafner GmbH + Co. KG</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44</v>
      </c>
      <c r="X35" s="227">
        <f t="shared" ca="1" si="3"/>
        <v>0</v>
      </c>
      <c r="AB35" s="228" t="str">
        <f t="shared" ca="1" si="4"/>
        <v>GoldC. Hafner GmbH + Co. KG</v>
      </c>
    </row>
    <row r="36" spans="1:28" s="227" customFormat="1" ht="51">
      <c r="A36" s="181" t="s">
        <v>672</v>
      </c>
      <c r="B36" s="182" t="str">
        <f ca="1">IF(LEN(A36)=0,"",INDEX('Smelter Look-up'!$A:$A,MATCH($A36,'Smelter Look-up'!$E:$E,0)))</f>
        <v>Gold</v>
      </c>
      <c r="C36" s="186" t="str">
        <f ca="1">IF(LEN(A36)=0,"",INDEX('Smelter Look-up'!$C:$C,MATCH($A36,'Smelter Look-up'!$E:$E,0)))</f>
        <v>Heimerle + Meule GmbH</v>
      </c>
      <c r="D36" s="230"/>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4"/>
      <c r="L36" s="224"/>
      <c r="M36" s="224"/>
      <c r="N36" s="224"/>
      <c r="O36" s="224"/>
      <c r="P36" s="185"/>
      <c r="Q36" s="225"/>
      <c r="R36" s="182" t="str">
        <f ca="1">IF(ISERROR($V36),"",OFFSET('Smelter Look-up'!$C$4,$V36-4,0)&amp;"")</f>
        <v>Heimerle + Meule GmbH</v>
      </c>
      <c r="S36" s="181" t="str">
        <f t="shared" ca="1" si="2"/>
        <v>DE</v>
      </c>
      <c r="T36" s="181" t="str">
        <f ca="1">IF(B36="","",IF(ISERROR(MATCH($J36,SorP!$B$1:$B$6226,0)),"",INDIRECT("'SorP'!$A$"&amp;MATCH($S36&amp;$J36,SorP!C:C,0))))</f>
        <v>DE-BW</v>
      </c>
      <c r="U36" s="201"/>
      <c r="V36" s="226">
        <f ca="1">IF(C36="",NA(),IF(OR(C36="Smelter not listed",C36="Smelter not yet identified"),MATCH($B36&amp;$D36,'Smelter Look-up'!$J:$J,0),MATCH($B36&amp;$C36,'Smelter Look-up'!$J:$J,0)))</f>
        <v>105</v>
      </c>
      <c r="X36" s="227">
        <f t="shared" ca="1" si="3"/>
        <v>0</v>
      </c>
      <c r="AB36" s="228" t="str">
        <f t="shared" ca="1" si="4"/>
        <v>GoldHeimerle + Meule GmbH</v>
      </c>
    </row>
    <row r="37" spans="1:28" s="227" customFormat="1" ht="63.75">
      <c r="A37" s="181" t="s">
        <v>674</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ca="1" si="2"/>
        <v>DE</v>
      </c>
      <c r="T37" s="181" t="str">
        <f ca="1">IF(B37="","",IF(ISERROR(MATCH($J37,SorP!$B$1:$B$6226,0)),"",INDIRECT("'SorP'!$A$"&amp;MATCH($S37&amp;$J37,SorP!C:C,0))))</f>
        <v>DE-HE</v>
      </c>
      <c r="U37" s="201"/>
      <c r="V37" s="226">
        <f ca="1">IF(C37="",NA(),IF(OR(C37="Smelter not listed",C37="Smelter not yet identified"),MATCH($B37&amp;$D37,'Smelter Look-up'!$J:$J,0),MATCH($B37&amp;$C37,'Smelter Look-up'!$J:$J,0)))</f>
        <v>109</v>
      </c>
      <c r="X37" s="227">
        <f t="shared" ca="1" si="3"/>
        <v>0</v>
      </c>
      <c r="AB37" s="228" t="str">
        <f t="shared" ca="1" si="4"/>
        <v>GoldHeraeus Germany GmbH Co. KG</v>
      </c>
    </row>
    <row r="38" spans="1:28" s="227" customFormat="1" ht="102">
      <c r="A38" s="181" t="s">
        <v>732</v>
      </c>
      <c r="B38" s="182" t="str">
        <f ca="1">IF(LEN(A38)=0,"",INDEX('Smelter Look-up'!$A:$A,MATCH($A38,'Smelter Look-up'!$E:$E,0)))</f>
        <v>Gold</v>
      </c>
      <c r="C38" s="186" t="str">
        <f ca="1">IF(LEN(A38)=0,"",INDEX('Smelter Look-up'!$C:$C,MATCH($A38,'Smelter Look-up'!$E:$E,0)))</f>
        <v>Umicore S.A. Business Unit Precious Metals Refining</v>
      </c>
      <c r="D38" s="230"/>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4"/>
      <c r="L38" s="224"/>
      <c r="M38" s="224"/>
      <c r="N38" s="224"/>
      <c r="O38" s="224"/>
      <c r="P38" s="185"/>
      <c r="Q38" s="225"/>
      <c r="R38" s="182" t="str">
        <f ca="1">IF(ISERROR($V38),"",OFFSET('Smelter Look-up'!$C$4,$V38-4,0)&amp;"")</f>
        <v>Umicore S.A. Business Unit Precious Metals Refining</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303</v>
      </c>
      <c r="X38" s="227">
        <f t="shared" ref="X38:X68" ca="1" si="6">IF(AND(C38="Smelter not listed",OR(LEN(D38)=0,LEN(E38)=0)),1,0)</f>
        <v>0</v>
      </c>
      <c r="AB38" s="228" t="str">
        <f t="shared" ref="AB38:AB68" ca="1" si="7">B38&amp;C38</f>
        <v>GoldUmicore S.A. Business Unit Precious Metals Refining</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7B1517-CCAB-4C2D-8E76-46F38527742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6"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Diehl Metal Applications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v>
      </c>
      <c r="B6" s="89" t="str">
        <f>Declaration!D10</f>
        <v>This CMRT is valid for DMA Berlin and DMA Teltow.
Dieser Bericht auf Basis des CMRT gilt für unsere Werke in Berlin und in Teltow.</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Osterwald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stephan.osterwald@diehl.com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+49-30-84784 4615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Stephan Osterwald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stephan.osterwald@diehl.com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https://www.diehl.com/group/de/unternehmen/compliance/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2025-03-25T21:57:26Z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e4bcc5e-c850-4664-8c68-f9d333047e33_Enabled">
    <vt:lpwstr>true</vt:lpwstr>
  </property>
  <property fmtid="{D5CDD505-2E9C-101B-9397-08002B2CF9AE}" pid="6" name="MSIP_Label_1e4bcc5e-c850-4664-8c68-f9d333047e33_SetDate">
    <vt:lpwstr>2025-02-17T14:09:49Z</vt:lpwstr>
  </property>
  <property fmtid="{D5CDD505-2E9C-101B-9397-08002B2CF9AE}" pid="7" name="MSIP_Label_1e4bcc5e-c850-4664-8c68-f9d333047e33_Method">
    <vt:lpwstr>Privileged</vt:lpwstr>
  </property>
  <property fmtid="{D5CDD505-2E9C-101B-9397-08002B2CF9AE}" pid="8" name="MSIP_Label_1e4bcc5e-c850-4664-8c68-f9d333047e33_Name">
    <vt:lpwstr>C1 – Company Internal</vt:lpwstr>
  </property>
  <property fmtid="{D5CDD505-2E9C-101B-9397-08002B2CF9AE}" pid="9" name="MSIP_Label_1e4bcc5e-c850-4664-8c68-f9d333047e33_SiteId">
    <vt:lpwstr>a2c46598-0fd1-4b3c-94d2-9b52215b3fe8</vt:lpwstr>
  </property>
  <property fmtid="{D5CDD505-2E9C-101B-9397-08002B2CF9AE}" pid="10" name="MSIP_Label_1e4bcc5e-c850-4664-8c68-f9d333047e33_ActionId">
    <vt:lpwstr>a4867feb-9a63-4e93-ad37-9e4165f0c6fd</vt:lpwstr>
  </property>
  <property fmtid="{D5CDD505-2E9C-101B-9397-08002B2CF9AE}" pid="11" name="MSIP_Label_1e4bcc5e-c850-4664-8c68-f9d333047e33_ContentBits">
    <vt:lpwstr>0</vt:lpwstr>
  </property>
  <property fmtid="{D5CDD505-2E9C-101B-9397-08002B2CF9AE}" pid="12" name="MSIP_Label_1e4bcc5e-c850-4664-8c68-f9d333047e33_Tag">
    <vt:lpwstr>10, 0, 1, 1</vt:lpwstr>
  </property>
</Properties>
</file>